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320" windowHeight="8976" activeTab="6"/>
  </bookViews>
  <sheets>
    <sheet name="Red Ball Design Sheet" sheetId="1" r:id="rId1"/>
    <sheet name="Green Ball Design Sheet" sheetId="2" r:id="rId2"/>
    <sheet name="Regression Table" sheetId="3" r:id="rId3"/>
    <sheet name="Sheet4" sheetId="4" state="hidden" r:id="rId4"/>
    <sheet name="Regression Table (2)" sheetId="5" r:id="rId5"/>
    <sheet name="All Interaction Plots" sheetId="6" r:id="rId6"/>
    <sheet name="Y Surf Plot Stop Angle vs Cup A" sheetId="7" r:id="rId7"/>
    <sheet name="Sheet6" sheetId="8" state="hidden" r:id="rId8"/>
    <sheet name="Sheet7" sheetId="9" state="hidden" r:id="rId9"/>
  </sheets>
  <definedNames>
    <definedName name="AExper" localSheetId="2">'Regression Table'!$S$8</definedName>
    <definedName name="AExper" localSheetId="4">'Regression Table (2)'!$S$8</definedName>
    <definedName name="BExper" localSheetId="2">'Regression Table'!$S$9</definedName>
    <definedName name="BExper" localSheetId="4">'Regression Table (2)'!$S$9</definedName>
    <definedName name="CExper" localSheetId="2">'Regression Table'!$S$10</definedName>
    <definedName name="CExper" localSheetId="4">'Regression Table (2)'!$S$10</definedName>
    <definedName name="ChartData" localSheetId="3">'Sheet4'!$A$1:$T$20</definedName>
    <definedName name="ChartData" localSheetId="7">'Sheet6'!$A$1:$T$20</definedName>
    <definedName name="ChartData" localSheetId="8">'Sheet7'!$A$1:$T$20</definedName>
    <definedName name="PredictionArea" localSheetId="2">'Regression Table'!$O$6:$S$18</definedName>
    <definedName name="PredictionArea" localSheetId="4">'Regression Table (2)'!$O$6:$S$18</definedName>
    <definedName name="ResponseSheet1" localSheetId="2">"Red Ball Design Sheet"</definedName>
    <definedName name="ResponseSheet1" localSheetId="4">"Red Ball Design Sheet"</definedName>
    <definedName name="ResponseSheet2" localSheetId="2">"Green Ball Design Sheet"</definedName>
    <definedName name="ResponseSheet2" localSheetId="4">"Green Ball Design Sheet"</definedName>
    <definedName name="rng_ColumnStructure" localSheetId="1">'Green Ball Design Sheet'!$B$42:$D$45</definedName>
    <definedName name="rng_ColumnStructure" localSheetId="0">'Red Ball Design Sheet'!$B$42:$D$45</definedName>
    <definedName name="rng_DependentData" localSheetId="1">'Green Ball Design Sheet'!$F$3:$G$18</definedName>
    <definedName name="rng_DependentData" localSheetId="0">'Red Ball Design Sheet'!$F$3:$G$18</definedName>
    <definedName name="rng_DependentDataCols" localSheetId="1">2</definedName>
    <definedName name="rng_DependentDataCols" localSheetId="0">2</definedName>
    <definedName name="rng_IndependentData" localSheetId="1">'Green Ball Design Sheet'!$A$1:$D$18</definedName>
    <definedName name="rng_IndependentData" localSheetId="0">'Red Ball Design Sheet'!$A$1:$D$18</definedName>
    <definedName name="rng_InteractionsNames" localSheetId="1">'Green Ball Design Sheet'!$I$42:$O$42</definedName>
    <definedName name="rng_InteractionsNames" localSheetId="0">'Red Ball Design Sheet'!$I$42:$O$42</definedName>
    <definedName name="ShatPredictR1" localSheetId="2">'Regression Table'!$AA$123</definedName>
    <definedName name="ShatPredictR1" localSheetId="4">'Regression Table (2)'!$AA$121</definedName>
    <definedName name="ShatPredictR2" localSheetId="2">'Regression Table'!$AB$123</definedName>
    <definedName name="ShatPredictR2" localSheetId="4">'Regression Table (2)'!$AB$121</definedName>
    <definedName name="ShatRegressionTable" localSheetId="2">'Regression Table'!$V$5:$AE$33</definedName>
    <definedName name="ShatRegressionTable" localSheetId="4">'Regression Table (2)'!$V$5:$AE$31</definedName>
    <definedName name="StandardErrorR1" localSheetId="2">'Regression Table'!$X$22</definedName>
    <definedName name="StandardErrorR1" localSheetId="4">'Regression Table (2)'!$X$20</definedName>
    <definedName name="StandardErrorR2" localSheetId="2">'Regression Table'!$AB$22</definedName>
    <definedName name="StandardErrorR2" localSheetId="4">'Regression Table (2)'!$AB$20</definedName>
    <definedName name="YhatPredictR1" localSheetId="2">'Regression Table'!$G$123</definedName>
    <definedName name="YhatPredictR1" localSheetId="4">'Regression Table (2)'!$G$121</definedName>
    <definedName name="YhatPredictR2" localSheetId="2">'Regression Table'!$H$123</definedName>
    <definedName name="YhatPredictR2" localSheetId="4">'Regression Table (2)'!$H$121</definedName>
    <definedName name="YhatRegressionTable" localSheetId="2">'Regression Table'!$B$5:$K$33</definedName>
    <definedName name="YhatRegressionTable" localSheetId="4">'Regression Table (2)'!$B$5:$K$31</definedName>
  </definedNames>
  <calcPr fullCalcOnLoad="1"/>
</workbook>
</file>

<file path=xl/comments3.xml><?xml version="1.0" encoding="utf-8"?>
<comments xmlns="http://schemas.openxmlformats.org/spreadsheetml/2006/main">
  <authors>
    <author>Philip Mayfield</author>
  </authors>
  <commentList>
    <comment ref="C20" authorId="0">
      <text>
        <r>
          <rPr>
            <sz val="8"/>
            <rFont val="Tahoma"/>
            <family val="0"/>
          </rPr>
          <t>Measure of the fit of the regression model. An Rsq value of 1 means the model has a perfect fit.</t>
        </r>
      </text>
    </comment>
    <comment ref="C21" authorId="0">
      <text>
        <r>
          <rPr>
            <sz val="8"/>
            <rFont val="Tahoma"/>
            <family val="0"/>
          </rPr>
          <t>Rsq adjusted for the number of observations and terms in the model.</t>
        </r>
      </text>
    </comment>
    <comment ref="C22" authorId="0">
      <text>
        <r>
          <rPr>
            <sz val="8"/>
            <rFont val="Tahoma"/>
            <family val="0"/>
          </rPr>
          <t>Can be used as an estimate of the standard deviation of Y</t>
        </r>
      </text>
    </comment>
    <comment ref="C23" authorId="0">
      <text>
        <r>
          <rPr>
            <sz val="8"/>
            <rFont val="Tahoma"/>
            <family val="0"/>
          </rPr>
          <t>If greater than 6 ,indicates a significant model for prediction</t>
        </r>
      </text>
    </comment>
    <comment ref="C24" authorId="0">
      <text>
        <r>
          <rPr>
            <sz val="8"/>
            <rFont val="Tahoma"/>
            <family val="0"/>
          </rPr>
          <t>If less than .05, indicates a significant model for prediction</t>
        </r>
      </text>
    </comment>
    <comment ref="C25" authorId="0">
      <text>
        <r>
          <rPr>
            <sz val="8"/>
            <rFont val="Tahoma"/>
            <family val="0"/>
          </rPr>
          <t>If greater than 6, indicates the model is lacking in its fit of the data</t>
        </r>
      </text>
    </comment>
    <comment ref="C26" authorId="0">
      <text>
        <r>
          <rPr>
            <sz val="8"/>
            <rFont val="Tahoma"/>
            <family val="0"/>
          </rPr>
          <t>If less than .05 the model is lacking in its fit of the data</t>
        </r>
      </text>
    </comment>
    <comment ref="D7" authorId="0">
      <text>
        <r>
          <rPr>
            <sz val="8"/>
            <rFont val="Tahoma"/>
            <family val="0"/>
          </rPr>
          <t>Coefficient of the effect</t>
        </r>
      </text>
    </comment>
    <comment ref="E7" authorId="0">
      <text>
        <r>
          <rPr>
            <sz val="8"/>
            <rFont val="Tahoma"/>
            <family val="0"/>
          </rPr>
          <t>Measure of the significance of an effect. Less than .05 is considered highly significant</t>
        </r>
      </text>
    </comment>
    <comment ref="F7" authorId="0">
      <text>
        <r>
          <rPr>
            <sz val="8"/>
            <rFont val="Tahoma"/>
            <family val="0"/>
          </rPr>
          <t>The proportion of orthogonality for each term. Tolerance of 1 is orthogonal, less than one indicates multicollinearity.</t>
        </r>
      </text>
    </comment>
    <comment ref="G7" authorId="0">
      <text>
        <r>
          <rPr>
            <sz val="8"/>
            <rFont val="Tahoma"/>
            <family val="0"/>
          </rPr>
          <t>An X indicates that the term is in the model for prediction, optimization, and plots</t>
        </r>
      </text>
    </comment>
    <comment ref="H7" authorId="0">
      <text>
        <r>
          <rPr>
            <sz val="8"/>
            <rFont val="Tahoma"/>
            <family val="0"/>
          </rPr>
          <t>Coefficient of the effect</t>
        </r>
      </text>
    </comment>
    <comment ref="I7" authorId="0">
      <text>
        <r>
          <rPr>
            <sz val="8"/>
            <rFont val="Tahoma"/>
            <family val="0"/>
          </rPr>
          <t>Measure of the significance of an effect. Less than .05 is considered highly significant</t>
        </r>
      </text>
    </comment>
    <comment ref="J7" authorId="0">
      <text>
        <r>
          <rPr>
            <sz val="8"/>
            <rFont val="Tahoma"/>
            <family val="0"/>
          </rPr>
          <t>The proportion of orthogonality for each term. Tolerance of 1 is orthogonal, less than one indicates multicollinearity.</t>
        </r>
      </text>
    </comment>
    <comment ref="K7" authorId="0">
      <text>
        <r>
          <rPr>
            <sz val="8"/>
            <rFont val="Tahoma"/>
            <family val="0"/>
          </rPr>
          <t>An X indicates that the term is in the model for prediction, optimization, and plots</t>
        </r>
      </text>
    </comment>
    <comment ref="W20" authorId="0">
      <text>
        <r>
          <rPr>
            <sz val="8"/>
            <rFont val="Tahoma"/>
            <family val="0"/>
          </rPr>
          <t>Measure of the fit of the regression model. An Rsq value of 1 means the model has a perfect fit.</t>
        </r>
      </text>
    </comment>
    <comment ref="W21" authorId="0">
      <text>
        <r>
          <rPr>
            <sz val="8"/>
            <rFont val="Tahoma"/>
            <family val="0"/>
          </rPr>
          <t>Rsq adjusted for the number of observations and terms in the model.</t>
        </r>
      </text>
    </comment>
    <comment ref="W22" authorId="0">
      <text>
        <r>
          <rPr>
            <sz val="8"/>
            <rFont val="Tahoma"/>
            <family val="0"/>
          </rPr>
          <t>Can be used as an estimate of the standard deviation of Y</t>
        </r>
      </text>
    </comment>
    <comment ref="W23" authorId="0">
      <text>
        <r>
          <rPr>
            <sz val="8"/>
            <rFont val="Tahoma"/>
            <family val="0"/>
          </rPr>
          <t>If greater than 6 ,indicates a significant model for prediction</t>
        </r>
      </text>
    </comment>
    <comment ref="W24" authorId="0">
      <text>
        <r>
          <rPr>
            <sz val="8"/>
            <rFont val="Tahoma"/>
            <family val="0"/>
          </rPr>
          <t>If less than .05, indicates a significant model for prediction</t>
        </r>
      </text>
    </comment>
    <comment ref="W25" authorId="0">
      <text>
        <r>
          <rPr>
            <sz val="8"/>
            <rFont val="Tahoma"/>
            <family val="0"/>
          </rPr>
          <t>If greater than 6, indicates the model is lacking in its fit of the data</t>
        </r>
      </text>
    </comment>
    <comment ref="W26" authorId="0">
      <text>
        <r>
          <rPr>
            <sz val="8"/>
            <rFont val="Tahoma"/>
            <family val="0"/>
          </rPr>
          <t>If less than .05 the model is lacking in its fit of the data</t>
        </r>
      </text>
    </comment>
    <comment ref="X7" authorId="0">
      <text>
        <r>
          <rPr>
            <sz val="8"/>
            <rFont val="Tahoma"/>
            <family val="0"/>
          </rPr>
          <t>Coefficient of the effect</t>
        </r>
      </text>
    </comment>
    <comment ref="Y7" authorId="0">
      <text>
        <r>
          <rPr>
            <sz val="8"/>
            <rFont val="Tahoma"/>
            <family val="0"/>
          </rPr>
          <t>Measure of the significance of an effect. Less than .05 is considered highly significant</t>
        </r>
      </text>
    </comment>
    <comment ref="Z7" authorId="0">
      <text>
        <r>
          <rPr>
            <sz val="8"/>
            <rFont val="Tahoma"/>
            <family val="0"/>
          </rPr>
          <t>The proportion of orthogonality for each term. Tolerance of 1 is orthogonal, less than one indicates multicollinearity.</t>
        </r>
      </text>
    </comment>
    <comment ref="AA7" authorId="0">
      <text>
        <r>
          <rPr>
            <sz val="8"/>
            <rFont val="Tahoma"/>
            <family val="0"/>
          </rPr>
          <t>An X indicates that the term is in the model for prediction, optimization, and plots</t>
        </r>
      </text>
    </comment>
    <comment ref="AB7" authorId="0">
      <text>
        <r>
          <rPr>
            <sz val="8"/>
            <rFont val="Tahoma"/>
            <family val="0"/>
          </rPr>
          <t>Coefficient of the effect</t>
        </r>
      </text>
    </comment>
    <comment ref="AC7" authorId="0">
      <text>
        <r>
          <rPr>
            <sz val="8"/>
            <rFont val="Tahoma"/>
            <family val="0"/>
          </rPr>
          <t>Measure of the significance of an effect. Less than .05 is considered highly significant</t>
        </r>
      </text>
    </comment>
    <comment ref="AD7" authorId="0">
      <text>
        <r>
          <rPr>
            <sz val="8"/>
            <rFont val="Tahoma"/>
            <family val="0"/>
          </rPr>
          <t>The proportion of orthogonality for each term. Tolerance of 1 is orthogonal, less than one indicates multicollinearity.</t>
        </r>
      </text>
    </comment>
    <comment ref="AE7" authorId="0">
      <text>
        <r>
          <rPr>
            <sz val="8"/>
            <rFont val="Tahoma"/>
            <family val="0"/>
          </rPr>
          <t>An X indicates that the term is in the model for prediction, optimization, and plots</t>
        </r>
      </text>
    </comment>
  </commentList>
</comments>
</file>

<file path=xl/comments5.xml><?xml version="1.0" encoding="utf-8"?>
<comments xmlns="http://schemas.openxmlformats.org/spreadsheetml/2006/main">
  <authors>
    <author>Philip Mayfield</author>
  </authors>
  <commentList>
    <comment ref="C18" authorId="0">
      <text>
        <r>
          <rPr>
            <sz val="8"/>
            <rFont val="Tahoma"/>
            <family val="0"/>
          </rPr>
          <t>Measure of the fit of the regression model. An Rsq value of 1 means the model has a perfect fit.</t>
        </r>
      </text>
    </comment>
    <comment ref="C19" authorId="0">
      <text>
        <r>
          <rPr>
            <sz val="8"/>
            <rFont val="Tahoma"/>
            <family val="0"/>
          </rPr>
          <t>Rsq adjusted for the number of observations and terms in the model.</t>
        </r>
      </text>
    </comment>
    <comment ref="C20" authorId="0">
      <text>
        <r>
          <rPr>
            <sz val="8"/>
            <rFont val="Tahoma"/>
            <family val="0"/>
          </rPr>
          <t>Can be used as an estimate of the standard deviation of Y</t>
        </r>
      </text>
    </comment>
    <comment ref="C21" authorId="0">
      <text>
        <r>
          <rPr>
            <sz val="8"/>
            <rFont val="Tahoma"/>
            <family val="0"/>
          </rPr>
          <t>If greater than 6 ,indicates a significant model for prediction</t>
        </r>
      </text>
    </comment>
    <comment ref="C22" authorId="0">
      <text>
        <r>
          <rPr>
            <sz val="8"/>
            <rFont val="Tahoma"/>
            <family val="0"/>
          </rPr>
          <t>If less than .05, indicates a significant model for prediction</t>
        </r>
      </text>
    </comment>
    <comment ref="C23" authorId="0">
      <text>
        <r>
          <rPr>
            <sz val="8"/>
            <rFont val="Tahoma"/>
            <family val="0"/>
          </rPr>
          <t>If greater than 6, indicates the model is lacking in its fit of the data</t>
        </r>
      </text>
    </comment>
    <comment ref="C24" authorId="0">
      <text>
        <r>
          <rPr>
            <sz val="8"/>
            <rFont val="Tahoma"/>
            <family val="0"/>
          </rPr>
          <t>If less than .05 the model is lacking in its fit of the data</t>
        </r>
      </text>
    </comment>
    <comment ref="D7" authorId="0">
      <text>
        <r>
          <rPr>
            <sz val="8"/>
            <rFont val="Tahoma"/>
            <family val="0"/>
          </rPr>
          <t>Coefficient of the effect</t>
        </r>
      </text>
    </comment>
    <comment ref="E7" authorId="0">
      <text>
        <r>
          <rPr>
            <sz val="8"/>
            <rFont val="Tahoma"/>
            <family val="0"/>
          </rPr>
          <t>Measure of the significance of an effect. Less than .05 is considered highly significant</t>
        </r>
      </text>
    </comment>
    <comment ref="F7" authorId="0">
      <text>
        <r>
          <rPr>
            <sz val="8"/>
            <rFont val="Tahoma"/>
            <family val="0"/>
          </rPr>
          <t>The proportion of orthogonality for each term. Tolerance of 1 is orthogonal, less than one indicates multicollinearity.</t>
        </r>
      </text>
    </comment>
    <comment ref="G7" authorId="0">
      <text>
        <r>
          <rPr>
            <sz val="8"/>
            <rFont val="Tahoma"/>
            <family val="0"/>
          </rPr>
          <t>An X indicates that the term is in the model for prediction, optimization, and plots</t>
        </r>
      </text>
    </comment>
    <comment ref="H7" authorId="0">
      <text>
        <r>
          <rPr>
            <sz val="8"/>
            <rFont val="Tahoma"/>
            <family val="0"/>
          </rPr>
          <t>Coefficient of the effect</t>
        </r>
      </text>
    </comment>
    <comment ref="I7" authorId="0">
      <text>
        <r>
          <rPr>
            <sz val="8"/>
            <rFont val="Tahoma"/>
            <family val="0"/>
          </rPr>
          <t>Measure of the significance of an effect. Less than .05 is considered highly significant</t>
        </r>
      </text>
    </comment>
    <comment ref="J7" authorId="0">
      <text>
        <r>
          <rPr>
            <sz val="8"/>
            <rFont val="Tahoma"/>
            <family val="0"/>
          </rPr>
          <t>The proportion of orthogonality for each term. Tolerance of 1 is orthogonal, less than one indicates multicollinearity.</t>
        </r>
      </text>
    </comment>
    <comment ref="K7" authorId="0">
      <text>
        <r>
          <rPr>
            <sz val="8"/>
            <rFont val="Tahoma"/>
            <family val="0"/>
          </rPr>
          <t>An X indicates that the term is in the model for prediction, optimization, and plots</t>
        </r>
      </text>
    </comment>
    <comment ref="W18" authorId="0">
      <text>
        <r>
          <rPr>
            <sz val="8"/>
            <rFont val="Tahoma"/>
            <family val="0"/>
          </rPr>
          <t>Measure of the fit of the regression model. An Rsq value of 1 means the model has a perfect fit.</t>
        </r>
      </text>
    </comment>
    <comment ref="W19" authorId="0">
      <text>
        <r>
          <rPr>
            <sz val="8"/>
            <rFont val="Tahoma"/>
            <family val="0"/>
          </rPr>
          <t>Rsq adjusted for the number of observations and terms in the model.</t>
        </r>
      </text>
    </comment>
    <comment ref="W20" authorId="0">
      <text>
        <r>
          <rPr>
            <sz val="8"/>
            <rFont val="Tahoma"/>
            <family val="0"/>
          </rPr>
          <t>Can be used as an estimate of the standard deviation of Y</t>
        </r>
      </text>
    </comment>
    <comment ref="W21" authorId="0">
      <text>
        <r>
          <rPr>
            <sz val="8"/>
            <rFont val="Tahoma"/>
            <family val="0"/>
          </rPr>
          <t>If greater than 6 ,indicates a significant model for prediction</t>
        </r>
      </text>
    </comment>
    <comment ref="W22" authorId="0">
      <text>
        <r>
          <rPr>
            <sz val="8"/>
            <rFont val="Tahoma"/>
            <family val="0"/>
          </rPr>
          <t>If less than .05, indicates a significant model for prediction</t>
        </r>
      </text>
    </comment>
    <comment ref="W23" authorId="0">
      <text>
        <r>
          <rPr>
            <sz val="8"/>
            <rFont val="Tahoma"/>
            <family val="0"/>
          </rPr>
          <t>If greater than 6, indicates the model is lacking in its fit of the data</t>
        </r>
      </text>
    </comment>
    <comment ref="W24" authorId="0">
      <text>
        <r>
          <rPr>
            <sz val="8"/>
            <rFont val="Tahoma"/>
            <family val="0"/>
          </rPr>
          <t>If less than .05 the model is lacking in its fit of the data</t>
        </r>
      </text>
    </comment>
    <comment ref="X7" authorId="0">
      <text>
        <r>
          <rPr>
            <sz val="8"/>
            <rFont val="Tahoma"/>
            <family val="0"/>
          </rPr>
          <t>Coefficient of the effect</t>
        </r>
      </text>
    </comment>
    <comment ref="Y7" authorId="0">
      <text>
        <r>
          <rPr>
            <sz val="8"/>
            <rFont val="Tahoma"/>
            <family val="0"/>
          </rPr>
          <t>Measure of the significance of an effect. Less than .05 is considered highly significant</t>
        </r>
      </text>
    </comment>
    <comment ref="Z7" authorId="0">
      <text>
        <r>
          <rPr>
            <sz val="8"/>
            <rFont val="Tahoma"/>
            <family val="0"/>
          </rPr>
          <t>The proportion of orthogonality for each term. Tolerance of 1 is orthogonal, less than one indicates multicollinearity.</t>
        </r>
      </text>
    </comment>
    <comment ref="AA7" authorId="0">
      <text>
        <r>
          <rPr>
            <sz val="8"/>
            <rFont val="Tahoma"/>
            <family val="0"/>
          </rPr>
          <t>An X indicates that the term is in the model for prediction, optimization, and plots</t>
        </r>
      </text>
    </comment>
    <comment ref="AB7" authorId="0">
      <text>
        <r>
          <rPr>
            <sz val="8"/>
            <rFont val="Tahoma"/>
            <family val="0"/>
          </rPr>
          <t>Coefficient of the effect</t>
        </r>
      </text>
    </comment>
    <comment ref="AC7" authorId="0">
      <text>
        <r>
          <rPr>
            <sz val="8"/>
            <rFont val="Tahoma"/>
            <family val="0"/>
          </rPr>
          <t>Measure of the significance of an effect. Less than .05 is considered highly significant</t>
        </r>
      </text>
    </comment>
    <comment ref="AD7" authorId="0">
      <text>
        <r>
          <rPr>
            <sz val="8"/>
            <rFont val="Tahoma"/>
            <family val="0"/>
          </rPr>
          <t>The proportion of orthogonality for each term. Tolerance of 1 is orthogonal, less than one indicates multicollinearity.</t>
        </r>
      </text>
    </comment>
    <comment ref="AE7" authorId="0">
      <text>
        <r>
          <rPr>
            <sz val="8"/>
            <rFont val="Tahoma"/>
            <family val="0"/>
          </rPr>
          <t>An X indicates that the term is in the model for prediction, optimization, and plots</t>
        </r>
      </text>
    </comment>
  </commentList>
</comments>
</file>

<file path=xl/sharedStrings.xml><?xml version="1.0" encoding="utf-8"?>
<sst xmlns="http://schemas.openxmlformats.org/spreadsheetml/2006/main" count="422" uniqueCount="69">
  <si>
    <t>Factor</t>
  </si>
  <si>
    <t>A</t>
  </si>
  <si>
    <t>Pull Back Angle</t>
  </si>
  <si>
    <t>B</t>
  </si>
  <si>
    <t>Stop Angle</t>
  </si>
  <si>
    <t>C</t>
  </si>
  <si>
    <t>Cup Angle</t>
  </si>
  <si>
    <t>Row #</t>
  </si>
  <si>
    <t>AB</t>
  </si>
  <si>
    <t>AC</t>
  </si>
  <si>
    <t>BC</t>
  </si>
  <si>
    <t>ABC</t>
  </si>
  <si>
    <t>AA</t>
  </si>
  <si>
    <t>BB</t>
  </si>
  <si>
    <t>CC</t>
  </si>
  <si>
    <t>Green Ball</t>
  </si>
  <si>
    <t>Y1</t>
  </si>
  <si>
    <t>Y2</t>
  </si>
  <si>
    <t>Y bar</t>
  </si>
  <si>
    <t>S</t>
  </si>
  <si>
    <t>Red Ball</t>
  </si>
  <si>
    <t>Y-hat Model</t>
  </si>
  <si>
    <t>Name</t>
  </si>
  <si>
    <t>Const</t>
  </si>
  <si>
    <t>Std Error</t>
  </si>
  <si>
    <t>F</t>
  </si>
  <si>
    <t>Sig F</t>
  </si>
  <si>
    <t>Source</t>
  </si>
  <si>
    <t>Regression</t>
  </si>
  <si>
    <t>Error</t>
  </si>
  <si>
    <t>Total</t>
  </si>
  <si>
    <r>
      <t>R</t>
    </r>
    <r>
      <rPr>
        <b/>
        <vertAlign val="superscript"/>
        <sz val="10"/>
        <color indexed="12"/>
        <rFont val="Arial"/>
        <family val="2"/>
      </rPr>
      <t>2</t>
    </r>
  </si>
  <si>
    <r>
      <t>Adj R</t>
    </r>
    <r>
      <rPr>
        <b/>
        <vertAlign val="superscript"/>
        <sz val="10"/>
        <color indexed="12"/>
        <rFont val="Arial"/>
        <family val="2"/>
      </rPr>
      <t>2</t>
    </r>
  </si>
  <si>
    <r>
      <t>F</t>
    </r>
    <r>
      <rPr>
        <b/>
        <vertAlign val="subscript"/>
        <sz val="10"/>
        <color indexed="12"/>
        <rFont val="Arial"/>
        <family val="2"/>
      </rPr>
      <t>LOF</t>
    </r>
  </si>
  <si>
    <r>
      <t>Sig F</t>
    </r>
    <r>
      <rPr>
        <b/>
        <vertAlign val="subscript"/>
        <sz val="10"/>
        <color indexed="12"/>
        <rFont val="Arial"/>
        <family val="2"/>
      </rPr>
      <t>LOF</t>
    </r>
  </si>
  <si>
    <r>
      <t>Error</t>
    </r>
    <r>
      <rPr>
        <b/>
        <vertAlign val="subscript"/>
        <sz val="10"/>
        <color indexed="12"/>
        <rFont val="Arial"/>
        <family val="2"/>
      </rPr>
      <t>Pure</t>
    </r>
  </si>
  <si>
    <r>
      <t>Error</t>
    </r>
    <r>
      <rPr>
        <b/>
        <vertAlign val="subscript"/>
        <sz val="10"/>
        <color indexed="12"/>
        <rFont val="Arial"/>
        <family val="2"/>
      </rPr>
      <t>LOF</t>
    </r>
  </si>
  <si>
    <t>Coeff</t>
  </si>
  <si>
    <t>P(2 Tail)</t>
  </si>
  <si>
    <t>Tol</t>
  </si>
  <si>
    <t>Active</t>
  </si>
  <si>
    <t>X</t>
  </si>
  <si>
    <t>SS</t>
  </si>
  <si>
    <t>df</t>
  </si>
  <si>
    <t>MS</t>
  </si>
  <si>
    <t>Effect</t>
  </si>
  <si>
    <t>Actual</t>
  </si>
  <si>
    <t>Coded</t>
  </si>
  <si>
    <t>Constant</t>
  </si>
  <si>
    <t>S-hat Model</t>
  </si>
  <si>
    <t>Low</t>
  </si>
  <si>
    <t>High</t>
  </si>
  <si>
    <t>Exper</t>
  </si>
  <si>
    <t>Multiple Response Prediction</t>
  </si>
  <si>
    <t>99% Confidence Interval</t>
  </si>
  <si>
    <t>Y-hat</t>
  </si>
  <si>
    <t>S-hat</t>
  </si>
  <si>
    <t>Lower Bound</t>
  </si>
  <si>
    <t>Upper Bound</t>
  </si>
  <si>
    <t xml:space="preserve"> </t>
  </si>
  <si>
    <t>Stop Angle = 2</t>
  </si>
  <si>
    <t>Stop Angle = 3</t>
  </si>
  <si>
    <t>Stop Angle = 4</t>
  </si>
  <si>
    <t>Cup Angle = 0</t>
  </si>
  <si>
    <t>Cup Angle = 45</t>
  </si>
  <si>
    <t>Cup Angle = 90</t>
  </si>
  <si>
    <t>Pull Back Angle = 160</t>
  </si>
  <si>
    <t>Pull Back Angle = 170</t>
  </si>
  <si>
    <t>Pull Back Angle = 180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</si>
</sst>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  <numFmt numFmtId="168" formatCode="0.0000000"/>
  </numFmts>
  <fonts count="14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b/>
      <vertAlign val="superscript"/>
      <sz val="10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sz val="10"/>
      <color indexed="10"/>
      <name val="Arial"/>
      <family val="2"/>
    </font>
    <font>
      <sz val="8.25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textRotation="90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166" fontId="0" fillId="0" borderId="3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165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Marginal Means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'All Interaction Plots'!$G$3:$G$5</c:f>
              <c:numCache>
                <c:ptCount val="3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</c:numCache>
            </c:numRef>
          </c:xVal>
          <c:yVal>
            <c:numRef>
              <c:f>'All Interaction Plots'!$H$3:$H$5</c:f>
              <c:numCache>
                <c:ptCount val="3"/>
                <c:pt idx="0">
                  <c:v>55.315</c:v>
                </c:pt>
                <c:pt idx="1">
                  <c:v>89.91666666666667</c:v>
                </c:pt>
                <c:pt idx="2">
                  <c:v>102.4</c:v>
                </c:pt>
              </c:numCache>
            </c:numRef>
          </c:yVal>
          <c:smooth val="0"/>
        </c:ser>
        <c:axId val="64832225"/>
        <c:axId val="46619114"/>
      </c:scatterChart>
      <c:valAx>
        <c:axId val="64832225"/>
        <c:scaling>
          <c:orientation val="minMax"/>
          <c:max val="180"/>
          <c:min val="160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19114"/>
        <c:crosses val="autoZero"/>
        <c:crossBetween val="midCat"/>
        <c:dispUnits/>
        <c:majorUnit val="20"/>
      </c:valAx>
      <c:valAx>
        <c:axId val="46619114"/>
        <c:scaling>
          <c:orientation val="minMax"/>
          <c:max val="102.4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32225"/>
        <c:crosses val="autoZero"/>
        <c:crossBetween val="midCat"/>
        <c:dispUnits/>
        <c:majorUnit val="102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Y-hat Surface Plot of (Red Ball)  Stop Angle vs Cup Angle Constants:   Pull Back Angle = 170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Sheet4!$B$1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Sheet4!$A$2:$A$20</c:f>
              <c:numCache>
                <c:ptCount val="19"/>
                <c:pt idx="0">
                  <c:v>2</c:v>
                </c:pt>
                <c:pt idx="1">
                  <c:v>2.111111111111111</c:v>
                </c:pt>
                <c:pt idx="2">
                  <c:v>2.2222222222222223</c:v>
                </c:pt>
                <c:pt idx="3">
                  <c:v>2.3333333333333335</c:v>
                </c:pt>
                <c:pt idx="4">
                  <c:v>2.4444444444444446</c:v>
                </c:pt>
                <c:pt idx="5">
                  <c:v>2.5555555555555554</c:v>
                </c:pt>
                <c:pt idx="6">
                  <c:v>2.6666666666666665</c:v>
                </c:pt>
                <c:pt idx="7">
                  <c:v>2.7777777777777777</c:v>
                </c:pt>
                <c:pt idx="8">
                  <c:v>2.888888888888889</c:v>
                </c:pt>
                <c:pt idx="9">
                  <c:v>3</c:v>
                </c:pt>
                <c:pt idx="10">
                  <c:v>3.111111111111111</c:v>
                </c:pt>
                <c:pt idx="11">
                  <c:v>3.2222222222222223</c:v>
                </c:pt>
                <c:pt idx="12">
                  <c:v>3.333333333333333</c:v>
                </c:pt>
                <c:pt idx="13">
                  <c:v>3.444444444444444</c:v>
                </c:pt>
                <c:pt idx="14">
                  <c:v>3.5555555555555554</c:v>
                </c:pt>
                <c:pt idx="15">
                  <c:v>3.6666666666666665</c:v>
                </c:pt>
                <c:pt idx="16">
                  <c:v>3.7777777777777777</c:v>
                </c:pt>
                <c:pt idx="17">
                  <c:v>3.888888888888889</c:v>
                </c:pt>
                <c:pt idx="18">
                  <c:v>4</c:v>
                </c:pt>
              </c:numCache>
            </c:numRef>
          </c:cat>
          <c:val>
            <c:numRef>
              <c:f>Sheet4!$B$2:$B$20</c:f>
              <c:numCache>
                <c:ptCount val="19"/>
                <c:pt idx="0">
                  <c:v>55.746875</c:v>
                </c:pt>
                <c:pt idx="1">
                  <c:v>60.732345679012354</c:v>
                </c:pt>
                <c:pt idx="2">
                  <c:v>65.29945216049384</c:v>
                </c:pt>
                <c:pt idx="3">
                  <c:v>69.44819444444445</c:v>
                </c:pt>
                <c:pt idx="4">
                  <c:v>73.17857253086422</c:v>
                </c:pt>
                <c:pt idx="5">
                  <c:v>76.49058641975309</c:v>
                </c:pt>
                <c:pt idx="6">
                  <c:v>79.38423611111111</c:v>
                </c:pt>
                <c:pt idx="7">
                  <c:v>81.85952160493828</c:v>
                </c:pt>
                <c:pt idx="8">
                  <c:v>83.91644290123456</c:v>
                </c:pt>
                <c:pt idx="9">
                  <c:v>85.555</c:v>
                </c:pt>
                <c:pt idx="10">
                  <c:v>86.77519290123458</c:v>
                </c:pt>
                <c:pt idx="11">
                  <c:v>87.57702160493828</c:v>
                </c:pt>
                <c:pt idx="12">
                  <c:v>87.96048611111111</c:v>
                </c:pt>
                <c:pt idx="13">
                  <c:v>87.9255864197531</c:v>
                </c:pt>
                <c:pt idx="14">
                  <c:v>87.4723225308642</c:v>
                </c:pt>
                <c:pt idx="15">
                  <c:v>86.60069444444446</c:v>
                </c:pt>
                <c:pt idx="16">
                  <c:v>85.31070216049383</c:v>
                </c:pt>
                <c:pt idx="17">
                  <c:v>83.60234567901236</c:v>
                </c:pt>
                <c:pt idx="18">
                  <c:v>81.475625</c:v>
                </c:pt>
              </c:numCache>
            </c:numRef>
          </c:val>
        </c:ser>
        <c:ser>
          <c:idx val="1"/>
          <c:order val="1"/>
          <c:tx>
            <c:strRef>
              <c:f>Sheet4!$C$1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Sheet4!$A$2:$A$20</c:f>
              <c:numCache>
                <c:ptCount val="19"/>
                <c:pt idx="0">
                  <c:v>2</c:v>
                </c:pt>
                <c:pt idx="1">
                  <c:v>2.111111111111111</c:v>
                </c:pt>
                <c:pt idx="2">
                  <c:v>2.2222222222222223</c:v>
                </c:pt>
                <c:pt idx="3">
                  <c:v>2.3333333333333335</c:v>
                </c:pt>
                <c:pt idx="4">
                  <c:v>2.4444444444444446</c:v>
                </c:pt>
                <c:pt idx="5">
                  <c:v>2.5555555555555554</c:v>
                </c:pt>
                <c:pt idx="6">
                  <c:v>2.6666666666666665</c:v>
                </c:pt>
                <c:pt idx="7">
                  <c:v>2.7777777777777777</c:v>
                </c:pt>
                <c:pt idx="8">
                  <c:v>2.888888888888889</c:v>
                </c:pt>
                <c:pt idx="9">
                  <c:v>3</c:v>
                </c:pt>
                <c:pt idx="10">
                  <c:v>3.111111111111111</c:v>
                </c:pt>
                <c:pt idx="11">
                  <c:v>3.2222222222222223</c:v>
                </c:pt>
                <c:pt idx="12">
                  <c:v>3.333333333333333</c:v>
                </c:pt>
                <c:pt idx="13">
                  <c:v>3.444444444444444</c:v>
                </c:pt>
                <c:pt idx="14">
                  <c:v>3.5555555555555554</c:v>
                </c:pt>
                <c:pt idx="15">
                  <c:v>3.6666666666666665</c:v>
                </c:pt>
                <c:pt idx="16">
                  <c:v>3.7777777777777777</c:v>
                </c:pt>
                <c:pt idx="17">
                  <c:v>3.888888888888889</c:v>
                </c:pt>
                <c:pt idx="18">
                  <c:v>4</c:v>
                </c:pt>
              </c:numCache>
            </c:numRef>
          </c:cat>
          <c:val>
            <c:numRef>
              <c:f>Sheet4!$C$2:$C$20</c:f>
              <c:numCache>
                <c:ptCount val="19"/>
                <c:pt idx="0">
                  <c:v>57.2796913580247</c:v>
                </c:pt>
                <c:pt idx="1">
                  <c:v>62.30285493827162</c:v>
                </c:pt>
                <c:pt idx="2">
                  <c:v>66.90765432098767</c:v>
                </c:pt>
                <c:pt idx="3">
                  <c:v>71.09408950617286</c:v>
                </c:pt>
                <c:pt idx="4">
                  <c:v>74.86216049382719</c:v>
                </c:pt>
                <c:pt idx="5">
                  <c:v>78.21186728395061</c:v>
                </c:pt>
                <c:pt idx="6">
                  <c:v>81.14320987654321</c:v>
                </c:pt>
                <c:pt idx="7">
                  <c:v>83.65618827160495</c:v>
                </c:pt>
                <c:pt idx="8">
                  <c:v>85.7508024691358</c:v>
                </c:pt>
                <c:pt idx="9">
                  <c:v>87.42705246913582</c:v>
                </c:pt>
                <c:pt idx="10">
                  <c:v>88.68493827160495</c:v>
                </c:pt>
                <c:pt idx="11">
                  <c:v>89.52445987654323</c:v>
                </c:pt>
                <c:pt idx="12">
                  <c:v>89.94561728395063</c:v>
                </c:pt>
                <c:pt idx="13">
                  <c:v>89.94841049382718</c:v>
                </c:pt>
                <c:pt idx="14">
                  <c:v>89.53283950617285</c:v>
                </c:pt>
                <c:pt idx="15">
                  <c:v>88.69890432098767</c:v>
                </c:pt>
                <c:pt idx="16">
                  <c:v>87.44660493827162</c:v>
                </c:pt>
                <c:pt idx="17">
                  <c:v>85.77594135802471</c:v>
                </c:pt>
                <c:pt idx="18">
                  <c:v>83.68691358024694</c:v>
                </c:pt>
              </c:numCache>
            </c:numRef>
          </c:val>
        </c:ser>
        <c:ser>
          <c:idx val="2"/>
          <c:order val="2"/>
          <c:tx>
            <c:strRef>
              <c:f>Sheet4!$D$1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Sheet4!$A$2:$A$20</c:f>
              <c:numCache>
                <c:ptCount val="19"/>
                <c:pt idx="0">
                  <c:v>2</c:v>
                </c:pt>
                <c:pt idx="1">
                  <c:v>2.111111111111111</c:v>
                </c:pt>
                <c:pt idx="2">
                  <c:v>2.2222222222222223</c:v>
                </c:pt>
                <c:pt idx="3">
                  <c:v>2.3333333333333335</c:v>
                </c:pt>
                <c:pt idx="4">
                  <c:v>2.4444444444444446</c:v>
                </c:pt>
                <c:pt idx="5">
                  <c:v>2.5555555555555554</c:v>
                </c:pt>
                <c:pt idx="6">
                  <c:v>2.6666666666666665</c:v>
                </c:pt>
                <c:pt idx="7">
                  <c:v>2.7777777777777777</c:v>
                </c:pt>
                <c:pt idx="8">
                  <c:v>2.888888888888889</c:v>
                </c:pt>
                <c:pt idx="9">
                  <c:v>3</c:v>
                </c:pt>
                <c:pt idx="10">
                  <c:v>3.111111111111111</c:v>
                </c:pt>
                <c:pt idx="11">
                  <c:v>3.2222222222222223</c:v>
                </c:pt>
                <c:pt idx="12">
                  <c:v>3.333333333333333</c:v>
                </c:pt>
                <c:pt idx="13">
                  <c:v>3.444444444444444</c:v>
                </c:pt>
                <c:pt idx="14">
                  <c:v>3.5555555555555554</c:v>
                </c:pt>
                <c:pt idx="15">
                  <c:v>3.6666666666666665</c:v>
                </c:pt>
                <c:pt idx="16">
                  <c:v>3.7777777777777777</c:v>
                </c:pt>
                <c:pt idx="17">
                  <c:v>3.888888888888889</c:v>
                </c:pt>
                <c:pt idx="18">
                  <c:v>4</c:v>
                </c:pt>
              </c:numCache>
            </c:numRef>
          </c:cat>
          <c:val>
            <c:numRef>
              <c:f>Sheet4!$D$2:$D$20</c:f>
              <c:numCache>
                <c:ptCount val="19"/>
                <c:pt idx="0">
                  <c:v>58.668834876543215</c:v>
                </c:pt>
                <c:pt idx="1">
                  <c:v>63.7296913580247</c:v>
                </c:pt>
                <c:pt idx="2">
                  <c:v>68.37218364197531</c:v>
                </c:pt>
                <c:pt idx="3">
                  <c:v>72.59631172839507</c:v>
                </c:pt>
                <c:pt idx="4">
                  <c:v>76.40207561728396</c:v>
                </c:pt>
                <c:pt idx="5">
                  <c:v>79.78947530864195</c:v>
                </c:pt>
                <c:pt idx="6">
                  <c:v>82.75851080246913</c:v>
                </c:pt>
                <c:pt idx="7">
                  <c:v>85.30918209876543</c:v>
                </c:pt>
                <c:pt idx="8">
                  <c:v>87.44148919753086</c:v>
                </c:pt>
                <c:pt idx="9">
                  <c:v>89.15543209876543</c:v>
                </c:pt>
                <c:pt idx="10">
                  <c:v>90.45101080246913</c:v>
                </c:pt>
                <c:pt idx="11">
                  <c:v>91.32822530864198</c:v>
                </c:pt>
                <c:pt idx="12">
                  <c:v>91.78707561728395</c:v>
                </c:pt>
                <c:pt idx="13">
                  <c:v>91.82756172839507</c:v>
                </c:pt>
                <c:pt idx="14">
                  <c:v>91.44968364197531</c:v>
                </c:pt>
                <c:pt idx="15">
                  <c:v>90.6534413580247</c:v>
                </c:pt>
                <c:pt idx="16">
                  <c:v>89.43883487654321</c:v>
                </c:pt>
                <c:pt idx="17">
                  <c:v>87.80586419753087</c:v>
                </c:pt>
                <c:pt idx="18">
                  <c:v>85.75452932098766</c:v>
                </c:pt>
              </c:numCache>
            </c:numRef>
          </c:val>
        </c:ser>
        <c:ser>
          <c:idx val="3"/>
          <c:order val="3"/>
          <c:tx>
            <c:strRef>
              <c:f>Sheet4!$E$1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Sheet4!$A$2:$A$20</c:f>
              <c:numCache>
                <c:ptCount val="19"/>
                <c:pt idx="0">
                  <c:v>2</c:v>
                </c:pt>
                <c:pt idx="1">
                  <c:v>2.111111111111111</c:v>
                </c:pt>
                <c:pt idx="2">
                  <c:v>2.2222222222222223</c:v>
                </c:pt>
                <c:pt idx="3">
                  <c:v>2.3333333333333335</c:v>
                </c:pt>
                <c:pt idx="4">
                  <c:v>2.4444444444444446</c:v>
                </c:pt>
                <c:pt idx="5">
                  <c:v>2.5555555555555554</c:v>
                </c:pt>
                <c:pt idx="6">
                  <c:v>2.6666666666666665</c:v>
                </c:pt>
                <c:pt idx="7">
                  <c:v>2.7777777777777777</c:v>
                </c:pt>
                <c:pt idx="8">
                  <c:v>2.888888888888889</c:v>
                </c:pt>
                <c:pt idx="9">
                  <c:v>3</c:v>
                </c:pt>
                <c:pt idx="10">
                  <c:v>3.111111111111111</c:v>
                </c:pt>
                <c:pt idx="11">
                  <c:v>3.2222222222222223</c:v>
                </c:pt>
                <c:pt idx="12">
                  <c:v>3.333333333333333</c:v>
                </c:pt>
                <c:pt idx="13">
                  <c:v>3.444444444444444</c:v>
                </c:pt>
                <c:pt idx="14">
                  <c:v>3.5555555555555554</c:v>
                </c:pt>
                <c:pt idx="15">
                  <c:v>3.6666666666666665</c:v>
                </c:pt>
                <c:pt idx="16">
                  <c:v>3.7777777777777777</c:v>
                </c:pt>
                <c:pt idx="17">
                  <c:v>3.888888888888889</c:v>
                </c:pt>
                <c:pt idx="18">
                  <c:v>4</c:v>
                </c:pt>
              </c:numCache>
            </c:numRef>
          </c:cat>
          <c:val>
            <c:numRef>
              <c:f>Sheet4!$E$2:$E$20</c:f>
              <c:numCache>
                <c:ptCount val="19"/>
                <c:pt idx="0">
                  <c:v>59.91430555555555</c:v>
                </c:pt>
                <c:pt idx="1">
                  <c:v>65.01285493827162</c:v>
                </c:pt>
                <c:pt idx="2">
                  <c:v>69.6930401234568</c:v>
                </c:pt>
                <c:pt idx="3">
                  <c:v>73.95486111111111</c:v>
                </c:pt>
                <c:pt idx="4">
                  <c:v>77.79831790123458</c:v>
                </c:pt>
                <c:pt idx="5">
                  <c:v>81.22341049382715</c:v>
                </c:pt>
                <c:pt idx="6">
                  <c:v>84.23013888888889</c:v>
                </c:pt>
                <c:pt idx="7">
                  <c:v>86.81850308641975</c:v>
                </c:pt>
                <c:pt idx="8">
                  <c:v>88.98850308641975</c:v>
                </c:pt>
                <c:pt idx="9">
                  <c:v>90.7401388888889</c:v>
                </c:pt>
                <c:pt idx="10">
                  <c:v>92.07341049382715</c:v>
                </c:pt>
                <c:pt idx="11">
                  <c:v>92.98831790123458</c:v>
                </c:pt>
                <c:pt idx="12">
                  <c:v>93.4848611111111</c:v>
                </c:pt>
                <c:pt idx="13">
                  <c:v>93.5630401234568</c:v>
                </c:pt>
                <c:pt idx="14">
                  <c:v>93.22285493827161</c:v>
                </c:pt>
                <c:pt idx="15">
                  <c:v>92.46430555555557</c:v>
                </c:pt>
                <c:pt idx="16">
                  <c:v>91.28739197530865</c:v>
                </c:pt>
                <c:pt idx="17">
                  <c:v>89.69211419753087</c:v>
                </c:pt>
                <c:pt idx="18">
                  <c:v>87.67847222222224</c:v>
                </c:pt>
              </c:numCache>
            </c:numRef>
          </c:val>
        </c:ser>
        <c:ser>
          <c:idx val="4"/>
          <c:order val="4"/>
          <c:tx>
            <c:strRef>
              <c:f>Sheet4!$F$1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Sheet4!$A$2:$A$20</c:f>
              <c:numCache>
                <c:ptCount val="19"/>
                <c:pt idx="0">
                  <c:v>2</c:v>
                </c:pt>
                <c:pt idx="1">
                  <c:v>2.111111111111111</c:v>
                </c:pt>
                <c:pt idx="2">
                  <c:v>2.2222222222222223</c:v>
                </c:pt>
                <c:pt idx="3">
                  <c:v>2.3333333333333335</c:v>
                </c:pt>
                <c:pt idx="4">
                  <c:v>2.4444444444444446</c:v>
                </c:pt>
                <c:pt idx="5">
                  <c:v>2.5555555555555554</c:v>
                </c:pt>
                <c:pt idx="6">
                  <c:v>2.6666666666666665</c:v>
                </c:pt>
                <c:pt idx="7">
                  <c:v>2.7777777777777777</c:v>
                </c:pt>
                <c:pt idx="8">
                  <c:v>2.888888888888889</c:v>
                </c:pt>
                <c:pt idx="9">
                  <c:v>3</c:v>
                </c:pt>
                <c:pt idx="10">
                  <c:v>3.111111111111111</c:v>
                </c:pt>
                <c:pt idx="11">
                  <c:v>3.2222222222222223</c:v>
                </c:pt>
                <c:pt idx="12">
                  <c:v>3.333333333333333</c:v>
                </c:pt>
                <c:pt idx="13">
                  <c:v>3.444444444444444</c:v>
                </c:pt>
                <c:pt idx="14">
                  <c:v>3.5555555555555554</c:v>
                </c:pt>
                <c:pt idx="15">
                  <c:v>3.6666666666666665</c:v>
                </c:pt>
                <c:pt idx="16">
                  <c:v>3.7777777777777777</c:v>
                </c:pt>
                <c:pt idx="17">
                  <c:v>3.888888888888889</c:v>
                </c:pt>
                <c:pt idx="18">
                  <c:v>4</c:v>
                </c:pt>
              </c:numCache>
            </c:numRef>
          </c:cat>
          <c:val>
            <c:numRef>
              <c:f>Sheet4!$F$2:$F$20</c:f>
              <c:numCache>
                <c:ptCount val="19"/>
                <c:pt idx="0">
                  <c:v>61.016103395061734</c:v>
                </c:pt>
                <c:pt idx="1">
                  <c:v>66.15234567901237</c:v>
                </c:pt>
                <c:pt idx="2">
                  <c:v>70.87022376543212</c:v>
                </c:pt>
                <c:pt idx="3">
                  <c:v>75.16973765432101</c:v>
                </c:pt>
                <c:pt idx="4">
                  <c:v>79.05088734567904</c:v>
                </c:pt>
                <c:pt idx="5">
                  <c:v>82.51367283950617</c:v>
                </c:pt>
                <c:pt idx="6">
                  <c:v>85.55809413580248</c:v>
                </c:pt>
                <c:pt idx="7">
                  <c:v>88.18415123456792</c:v>
                </c:pt>
                <c:pt idx="8">
                  <c:v>90.39184413580247</c:v>
                </c:pt>
                <c:pt idx="9">
                  <c:v>92.18117283950619</c:v>
                </c:pt>
                <c:pt idx="10">
                  <c:v>93.55213734567903</c:v>
                </c:pt>
                <c:pt idx="11">
                  <c:v>94.504737654321</c:v>
                </c:pt>
                <c:pt idx="12">
                  <c:v>95.0389737654321</c:v>
                </c:pt>
                <c:pt idx="13">
                  <c:v>95.15484567901237</c:v>
                </c:pt>
                <c:pt idx="14">
                  <c:v>94.85235339506174</c:v>
                </c:pt>
                <c:pt idx="15">
                  <c:v>94.13149691358026</c:v>
                </c:pt>
                <c:pt idx="16">
                  <c:v>92.99227623456792</c:v>
                </c:pt>
                <c:pt idx="17">
                  <c:v>91.43469135802471</c:v>
                </c:pt>
                <c:pt idx="18">
                  <c:v>89.45874228395063</c:v>
                </c:pt>
              </c:numCache>
            </c:numRef>
          </c:val>
        </c:ser>
        <c:ser>
          <c:idx val="5"/>
          <c:order val="5"/>
          <c:tx>
            <c:strRef>
              <c:f>Sheet4!$G$1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Sheet4!$A$2:$A$20</c:f>
              <c:numCache>
                <c:ptCount val="19"/>
                <c:pt idx="0">
                  <c:v>2</c:v>
                </c:pt>
                <c:pt idx="1">
                  <c:v>2.111111111111111</c:v>
                </c:pt>
                <c:pt idx="2">
                  <c:v>2.2222222222222223</c:v>
                </c:pt>
                <c:pt idx="3">
                  <c:v>2.3333333333333335</c:v>
                </c:pt>
                <c:pt idx="4">
                  <c:v>2.4444444444444446</c:v>
                </c:pt>
                <c:pt idx="5">
                  <c:v>2.5555555555555554</c:v>
                </c:pt>
                <c:pt idx="6">
                  <c:v>2.6666666666666665</c:v>
                </c:pt>
                <c:pt idx="7">
                  <c:v>2.7777777777777777</c:v>
                </c:pt>
                <c:pt idx="8">
                  <c:v>2.888888888888889</c:v>
                </c:pt>
                <c:pt idx="9">
                  <c:v>3</c:v>
                </c:pt>
                <c:pt idx="10">
                  <c:v>3.111111111111111</c:v>
                </c:pt>
                <c:pt idx="11">
                  <c:v>3.2222222222222223</c:v>
                </c:pt>
                <c:pt idx="12">
                  <c:v>3.333333333333333</c:v>
                </c:pt>
                <c:pt idx="13">
                  <c:v>3.444444444444444</c:v>
                </c:pt>
                <c:pt idx="14">
                  <c:v>3.5555555555555554</c:v>
                </c:pt>
                <c:pt idx="15">
                  <c:v>3.6666666666666665</c:v>
                </c:pt>
                <c:pt idx="16">
                  <c:v>3.7777777777777777</c:v>
                </c:pt>
                <c:pt idx="17">
                  <c:v>3.888888888888889</c:v>
                </c:pt>
                <c:pt idx="18">
                  <c:v>4</c:v>
                </c:pt>
              </c:numCache>
            </c:numRef>
          </c:cat>
          <c:val>
            <c:numRef>
              <c:f>Sheet4!$G$2:$G$20</c:f>
              <c:numCache>
                <c:ptCount val="19"/>
                <c:pt idx="0">
                  <c:v>61.97422839506173</c:v>
                </c:pt>
                <c:pt idx="1">
                  <c:v>67.1481635802469</c:v>
                </c:pt>
                <c:pt idx="2">
                  <c:v>71.90373456790122</c:v>
                </c:pt>
                <c:pt idx="3">
                  <c:v>76.24094135802468</c:v>
                </c:pt>
                <c:pt idx="4">
                  <c:v>80.15978395061728</c:v>
                </c:pt>
                <c:pt idx="5">
                  <c:v>83.66026234567899</c:v>
                </c:pt>
                <c:pt idx="6">
                  <c:v>86.74237654320986</c:v>
                </c:pt>
                <c:pt idx="7">
                  <c:v>89.40612654320987</c:v>
                </c:pt>
                <c:pt idx="8">
                  <c:v>91.651512345679</c:v>
                </c:pt>
                <c:pt idx="9">
                  <c:v>93.47853395061728</c:v>
                </c:pt>
                <c:pt idx="10">
                  <c:v>94.88719135802468</c:v>
                </c:pt>
                <c:pt idx="11">
                  <c:v>95.87748456790123</c:v>
                </c:pt>
                <c:pt idx="12">
                  <c:v>96.4494135802469</c:v>
                </c:pt>
                <c:pt idx="13">
                  <c:v>96.60297839506173</c:v>
                </c:pt>
                <c:pt idx="14">
                  <c:v>96.33817901234568</c:v>
                </c:pt>
                <c:pt idx="15">
                  <c:v>95.65501543209876</c:v>
                </c:pt>
                <c:pt idx="16">
                  <c:v>94.55348765432099</c:v>
                </c:pt>
                <c:pt idx="17">
                  <c:v>93.03359567901235</c:v>
                </c:pt>
                <c:pt idx="18">
                  <c:v>91.09533950617282</c:v>
                </c:pt>
              </c:numCache>
            </c:numRef>
          </c:val>
        </c:ser>
        <c:ser>
          <c:idx val="6"/>
          <c:order val="6"/>
          <c:tx>
            <c:strRef>
              <c:f>Sheet4!$H$1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Sheet4!$A$2:$A$20</c:f>
              <c:numCache>
                <c:ptCount val="19"/>
                <c:pt idx="0">
                  <c:v>2</c:v>
                </c:pt>
                <c:pt idx="1">
                  <c:v>2.111111111111111</c:v>
                </c:pt>
                <c:pt idx="2">
                  <c:v>2.2222222222222223</c:v>
                </c:pt>
                <c:pt idx="3">
                  <c:v>2.3333333333333335</c:v>
                </c:pt>
                <c:pt idx="4">
                  <c:v>2.4444444444444446</c:v>
                </c:pt>
                <c:pt idx="5">
                  <c:v>2.5555555555555554</c:v>
                </c:pt>
                <c:pt idx="6">
                  <c:v>2.6666666666666665</c:v>
                </c:pt>
                <c:pt idx="7">
                  <c:v>2.7777777777777777</c:v>
                </c:pt>
                <c:pt idx="8">
                  <c:v>2.888888888888889</c:v>
                </c:pt>
                <c:pt idx="9">
                  <c:v>3</c:v>
                </c:pt>
                <c:pt idx="10">
                  <c:v>3.111111111111111</c:v>
                </c:pt>
                <c:pt idx="11">
                  <c:v>3.2222222222222223</c:v>
                </c:pt>
                <c:pt idx="12">
                  <c:v>3.333333333333333</c:v>
                </c:pt>
                <c:pt idx="13">
                  <c:v>3.444444444444444</c:v>
                </c:pt>
                <c:pt idx="14">
                  <c:v>3.5555555555555554</c:v>
                </c:pt>
                <c:pt idx="15">
                  <c:v>3.6666666666666665</c:v>
                </c:pt>
                <c:pt idx="16">
                  <c:v>3.7777777777777777</c:v>
                </c:pt>
                <c:pt idx="17">
                  <c:v>3.888888888888889</c:v>
                </c:pt>
                <c:pt idx="18">
                  <c:v>4</c:v>
                </c:pt>
              </c:numCache>
            </c:numRef>
          </c:cat>
          <c:val>
            <c:numRef>
              <c:f>Sheet4!$H$2:$H$20</c:f>
              <c:numCache>
                <c:ptCount val="19"/>
                <c:pt idx="0">
                  <c:v>62.78868055555555</c:v>
                </c:pt>
                <c:pt idx="1">
                  <c:v>68.00030864197531</c:v>
                </c:pt>
                <c:pt idx="2">
                  <c:v>72.79357253086421</c:v>
                </c:pt>
                <c:pt idx="3">
                  <c:v>77.16847222222223</c:v>
                </c:pt>
                <c:pt idx="4">
                  <c:v>81.1250077160494</c:v>
                </c:pt>
                <c:pt idx="5">
                  <c:v>84.66317901234567</c:v>
                </c:pt>
                <c:pt idx="6">
                  <c:v>87.7829861111111</c:v>
                </c:pt>
                <c:pt idx="7">
                  <c:v>90.48442901234569</c:v>
                </c:pt>
                <c:pt idx="8">
                  <c:v>92.76750771604938</c:v>
                </c:pt>
                <c:pt idx="9">
                  <c:v>94.63222222222223</c:v>
                </c:pt>
                <c:pt idx="10">
                  <c:v>96.0785725308642</c:v>
                </c:pt>
                <c:pt idx="11">
                  <c:v>97.10655864197531</c:v>
                </c:pt>
                <c:pt idx="12">
                  <c:v>97.71618055555555</c:v>
                </c:pt>
                <c:pt idx="13">
                  <c:v>97.90743827160495</c:v>
                </c:pt>
                <c:pt idx="14">
                  <c:v>97.68033179012346</c:v>
                </c:pt>
                <c:pt idx="15">
                  <c:v>97.03486111111111</c:v>
                </c:pt>
                <c:pt idx="16">
                  <c:v>95.9710262345679</c:v>
                </c:pt>
                <c:pt idx="17">
                  <c:v>94.48882716049384</c:v>
                </c:pt>
                <c:pt idx="18">
                  <c:v>92.58826388888889</c:v>
                </c:pt>
              </c:numCache>
            </c:numRef>
          </c:val>
        </c:ser>
        <c:ser>
          <c:idx val="7"/>
          <c:order val="7"/>
          <c:tx>
            <c:strRef>
              <c:f>Sheet4!$I$1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Sheet4!$A$2:$A$20</c:f>
              <c:numCache>
                <c:ptCount val="19"/>
                <c:pt idx="0">
                  <c:v>2</c:v>
                </c:pt>
                <c:pt idx="1">
                  <c:v>2.111111111111111</c:v>
                </c:pt>
                <c:pt idx="2">
                  <c:v>2.2222222222222223</c:v>
                </c:pt>
                <c:pt idx="3">
                  <c:v>2.3333333333333335</c:v>
                </c:pt>
                <c:pt idx="4">
                  <c:v>2.4444444444444446</c:v>
                </c:pt>
                <c:pt idx="5">
                  <c:v>2.5555555555555554</c:v>
                </c:pt>
                <c:pt idx="6">
                  <c:v>2.6666666666666665</c:v>
                </c:pt>
                <c:pt idx="7">
                  <c:v>2.7777777777777777</c:v>
                </c:pt>
                <c:pt idx="8">
                  <c:v>2.888888888888889</c:v>
                </c:pt>
                <c:pt idx="9">
                  <c:v>3</c:v>
                </c:pt>
                <c:pt idx="10">
                  <c:v>3.111111111111111</c:v>
                </c:pt>
                <c:pt idx="11">
                  <c:v>3.2222222222222223</c:v>
                </c:pt>
                <c:pt idx="12">
                  <c:v>3.333333333333333</c:v>
                </c:pt>
                <c:pt idx="13">
                  <c:v>3.444444444444444</c:v>
                </c:pt>
                <c:pt idx="14">
                  <c:v>3.5555555555555554</c:v>
                </c:pt>
                <c:pt idx="15">
                  <c:v>3.6666666666666665</c:v>
                </c:pt>
                <c:pt idx="16">
                  <c:v>3.7777777777777777</c:v>
                </c:pt>
                <c:pt idx="17">
                  <c:v>3.888888888888889</c:v>
                </c:pt>
                <c:pt idx="18">
                  <c:v>4</c:v>
                </c:pt>
              </c:numCache>
            </c:numRef>
          </c:cat>
          <c:val>
            <c:numRef>
              <c:f>Sheet4!$I$2:$I$20</c:f>
              <c:numCache>
                <c:ptCount val="19"/>
                <c:pt idx="0">
                  <c:v>63.459459876543214</c:v>
                </c:pt>
                <c:pt idx="1">
                  <c:v>68.70878086419754</c:v>
                </c:pt>
                <c:pt idx="2">
                  <c:v>73.539737654321</c:v>
                </c:pt>
                <c:pt idx="3">
                  <c:v>77.95233024691359</c:v>
                </c:pt>
                <c:pt idx="4">
                  <c:v>81.94655864197533</c:v>
                </c:pt>
                <c:pt idx="5">
                  <c:v>85.52242283950616</c:v>
                </c:pt>
                <c:pt idx="6">
                  <c:v>88.67992283950618</c:v>
                </c:pt>
                <c:pt idx="7">
                  <c:v>91.41905864197531</c:v>
                </c:pt>
                <c:pt idx="8">
                  <c:v>93.73983024691358</c:v>
                </c:pt>
                <c:pt idx="9">
                  <c:v>95.642237654321</c:v>
                </c:pt>
                <c:pt idx="10">
                  <c:v>97.12628086419753</c:v>
                </c:pt>
                <c:pt idx="11">
                  <c:v>98.19195987654322</c:v>
                </c:pt>
                <c:pt idx="12">
                  <c:v>98.83927469135801</c:v>
                </c:pt>
                <c:pt idx="13">
                  <c:v>99.06822530864198</c:v>
                </c:pt>
                <c:pt idx="14">
                  <c:v>98.87881172839506</c:v>
                </c:pt>
                <c:pt idx="15">
                  <c:v>98.2710339506173</c:v>
                </c:pt>
                <c:pt idx="16">
                  <c:v>97.24489197530865</c:v>
                </c:pt>
                <c:pt idx="17">
                  <c:v>95.80038580246915</c:v>
                </c:pt>
                <c:pt idx="18">
                  <c:v>93.93751543209878</c:v>
                </c:pt>
              </c:numCache>
            </c:numRef>
          </c:val>
        </c:ser>
        <c:ser>
          <c:idx val="8"/>
          <c:order val="8"/>
          <c:tx>
            <c:strRef>
              <c:f>Sheet4!$J$1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Sheet4!$A$2:$A$20</c:f>
              <c:numCache>
                <c:ptCount val="19"/>
                <c:pt idx="0">
                  <c:v>2</c:v>
                </c:pt>
                <c:pt idx="1">
                  <c:v>2.111111111111111</c:v>
                </c:pt>
                <c:pt idx="2">
                  <c:v>2.2222222222222223</c:v>
                </c:pt>
                <c:pt idx="3">
                  <c:v>2.3333333333333335</c:v>
                </c:pt>
                <c:pt idx="4">
                  <c:v>2.4444444444444446</c:v>
                </c:pt>
                <c:pt idx="5">
                  <c:v>2.5555555555555554</c:v>
                </c:pt>
                <c:pt idx="6">
                  <c:v>2.6666666666666665</c:v>
                </c:pt>
                <c:pt idx="7">
                  <c:v>2.7777777777777777</c:v>
                </c:pt>
                <c:pt idx="8">
                  <c:v>2.888888888888889</c:v>
                </c:pt>
                <c:pt idx="9">
                  <c:v>3</c:v>
                </c:pt>
                <c:pt idx="10">
                  <c:v>3.111111111111111</c:v>
                </c:pt>
                <c:pt idx="11">
                  <c:v>3.2222222222222223</c:v>
                </c:pt>
                <c:pt idx="12">
                  <c:v>3.333333333333333</c:v>
                </c:pt>
                <c:pt idx="13">
                  <c:v>3.444444444444444</c:v>
                </c:pt>
                <c:pt idx="14">
                  <c:v>3.5555555555555554</c:v>
                </c:pt>
                <c:pt idx="15">
                  <c:v>3.6666666666666665</c:v>
                </c:pt>
                <c:pt idx="16">
                  <c:v>3.7777777777777777</c:v>
                </c:pt>
                <c:pt idx="17">
                  <c:v>3.888888888888889</c:v>
                </c:pt>
                <c:pt idx="18">
                  <c:v>4</c:v>
                </c:pt>
              </c:numCache>
            </c:numRef>
          </c:cat>
          <c:val>
            <c:numRef>
              <c:f>Sheet4!$J$2:$J$20</c:f>
              <c:numCache>
                <c:ptCount val="19"/>
                <c:pt idx="0">
                  <c:v>63.986566358024675</c:v>
                </c:pt>
                <c:pt idx="1">
                  <c:v>69.27358024691358</c:v>
                </c:pt>
                <c:pt idx="2">
                  <c:v>74.14222993827161</c:v>
                </c:pt>
                <c:pt idx="3">
                  <c:v>78.59251543209878</c:v>
                </c:pt>
                <c:pt idx="4">
                  <c:v>82.62443672839507</c:v>
                </c:pt>
                <c:pt idx="5">
                  <c:v>86.23799382716048</c:v>
                </c:pt>
                <c:pt idx="6">
                  <c:v>89.43318672839506</c:v>
                </c:pt>
                <c:pt idx="7">
                  <c:v>92.21001543209877</c:v>
                </c:pt>
                <c:pt idx="8">
                  <c:v>94.5684799382716</c:v>
                </c:pt>
                <c:pt idx="9">
                  <c:v>96.50858024691358</c:v>
                </c:pt>
                <c:pt idx="10">
                  <c:v>98.03031635802469</c:v>
                </c:pt>
                <c:pt idx="11">
                  <c:v>99.13368827160494</c:v>
                </c:pt>
                <c:pt idx="12">
                  <c:v>99.81869598765431</c:v>
                </c:pt>
                <c:pt idx="13">
                  <c:v>100.08533950617284</c:v>
                </c:pt>
                <c:pt idx="14">
                  <c:v>99.9336188271605</c:v>
                </c:pt>
                <c:pt idx="15">
                  <c:v>99.36353395061728</c:v>
                </c:pt>
                <c:pt idx="16">
                  <c:v>98.37508487654321</c:v>
                </c:pt>
                <c:pt idx="17">
                  <c:v>96.96827160493828</c:v>
                </c:pt>
                <c:pt idx="18">
                  <c:v>95.14309413580247</c:v>
                </c:pt>
              </c:numCache>
            </c:numRef>
          </c:val>
        </c:ser>
        <c:ser>
          <c:idx val="9"/>
          <c:order val="9"/>
          <c:tx>
            <c:strRef>
              <c:f>Sheet4!$K$1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Sheet4!$A$2:$A$20</c:f>
              <c:numCache>
                <c:ptCount val="19"/>
                <c:pt idx="0">
                  <c:v>2</c:v>
                </c:pt>
                <c:pt idx="1">
                  <c:v>2.111111111111111</c:v>
                </c:pt>
                <c:pt idx="2">
                  <c:v>2.2222222222222223</c:v>
                </c:pt>
                <c:pt idx="3">
                  <c:v>2.3333333333333335</c:v>
                </c:pt>
                <c:pt idx="4">
                  <c:v>2.4444444444444446</c:v>
                </c:pt>
                <c:pt idx="5">
                  <c:v>2.5555555555555554</c:v>
                </c:pt>
                <c:pt idx="6">
                  <c:v>2.6666666666666665</c:v>
                </c:pt>
                <c:pt idx="7">
                  <c:v>2.7777777777777777</c:v>
                </c:pt>
                <c:pt idx="8">
                  <c:v>2.888888888888889</c:v>
                </c:pt>
                <c:pt idx="9">
                  <c:v>3</c:v>
                </c:pt>
                <c:pt idx="10">
                  <c:v>3.111111111111111</c:v>
                </c:pt>
                <c:pt idx="11">
                  <c:v>3.2222222222222223</c:v>
                </c:pt>
                <c:pt idx="12">
                  <c:v>3.333333333333333</c:v>
                </c:pt>
                <c:pt idx="13">
                  <c:v>3.444444444444444</c:v>
                </c:pt>
                <c:pt idx="14">
                  <c:v>3.5555555555555554</c:v>
                </c:pt>
                <c:pt idx="15">
                  <c:v>3.6666666666666665</c:v>
                </c:pt>
                <c:pt idx="16">
                  <c:v>3.7777777777777777</c:v>
                </c:pt>
                <c:pt idx="17">
                  <c:v>3.888888888888889</c:v>
                </c:pt>
                <c:pt idx="18">
                  <c:v>4</c:v>
                </c:pt>
              </c:numCache>
            </c:numRef>
          </c:cat>
          <c:val>
            <c:numRef>
              <c:f>Sheet4!$K$2:$K$20</c:f>
              <c:numCache>
                <c:ptCount val="19"/>
                <c:pt idx="0">
                  <c:v>64.37</c:v>
                </c:pt>
                <c:pt idx="1">
                  <c:v>69.69470679012346</c:v>
                </c:pt>
                <c:pt idx="2">
                  <c:v>74.60104938271606</c:v>
                </c:pt>
                <c:pt idx="3">
                  <c:v>79.08902777777779</c:v>
                </c:pt>
                <c:pt idx="4">
                  <c:v>83.15864197530865</c:v>
                </c:pt>
                <c:pt idx="5">
                  <c:v>86.80989197530863</c:v>
                </c:pt>
                <c:pt idx="6">
                  <c:v>90.04277777777777</c:v>
                </c:pt>
                <c:pt idx="7">
                  <c:v>92.85729938271605</c:v>
                </c:pt>
                <c:pt idx="8">
                  <c:v>95.25345679012345</c:v>
                </c:pt>
                <c:pt idx="9">
                  <c:v>97.23125</c:v>
                </c:pt>
                <c:pt idx="10">
                  <c:v>98.79067901234568</c:v>
                </c:pt>
                <c:pt idx="11">
                  <c:v>99.9317438271605</c:v>
                </c:pt>
                <c:pt idx="12">
                  <c:v>100.65444444444444</c:v>
                </c:pt>
                <c:pt idx="13">
                  <c:v>100.95878086419754</c:v>
                </c:pt>
                <c:pt idx="14">
                  <c:v>100.84475308641976</c:v>
                </c:pt>
                <c:pt idx="15">
                  <c:v>100.31236111111112</c:v>
                </c:pt>
                <c:pt idx="16">
                  <c:v>99.36160493827161</c:v>
                </c:pt>
                <c:pt idx="17">
                  <c:v>97.99248456790124</c:v>
                </c:pt>
                <c:pt idx="18">
                  <c:v>96.205</c:v>
                </c:pt>
              </c:numCache>
            </c:numRef>
          </c:val>
        </c:ser>
        <c:ser>
          <c:idx val="10"/>
          <c:order val="10"/>
          <c:tx>
            <c:strRef>
              <c:f>Sheet4!$L$1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Sheet4!$A$2:$A$20</c:f>
              <c:numCache>
                <c:ptCount val="19"/>
                <c:pt idx="0">
                  <c:v>2</c:v>
                </c:pt>
                <c:pt idx="1">
                  <c:v>2.111111111111111</c:v>
                </c:pt>
                <c:pt idx="2">
                  <c:v>2.2222222222222223</c:v>
                </c:pt>
                <c:pt idx="3">
                  <c:v>2.3333333333333335</c:v>
                </c:pt>
                <c:pt idx="4">
                  <c:v>2.4444444444444446</c:v>
                </c:pt>
                <c:pt idx="5">
                  <c:v>2.5555555555555554</c:v>
                </c:pt>
                <c:pt idx="6">
                  <c:v>2.6666666666666665</c:v>
                </c:pt>
                <c:pt idx="7">
                  <c:v>2.7777777777777777</c:v>
                </c:pt>
                <c:pt idx="8">
                  <c:v>2.888888888888889</c:v>
                </c:pt>
                <c:pt idx="9">
                  <c:v>3</c:v>
                </c:pt>
                <c:pt idx="10">
                  <c:v>3.111111111111111</c:v>
                </c:pt>
                <c:pt idx="11">
                  <c:v>3.2222222222222223</c:v>
                </c:pt>
                <c:pt idx="12">
                  <c:v>3.333333333333333</c:v>
                </c:pt>
                <c:pt idx="13">
                  <c:v>3.444444444444444</c:v>
                </c:pt>
                <c:pt idx="14">
                  <c:v>3.5555555555555554</c:v>
                </c:pt>
                <c:pt idx="15">
                  <c:v>3.6666666666666665</c:v>
                </c:pt>
                <c:pt idx="16">
                  <c:v>3.7777777777777777</c:v>
                </c:pt>
                <c:pt idx="17">
                  <c:v>3.888888888888889</c:v>
                </c:pt>
                <c:pt idx="18">
                  <c:v>4</c:v>
                </c:pt>
              </c:numCache>
            </c:numRef>
          </c:cat>
          <c:val>
            <c:numRef>
              <c:f>Sheet4!$L$2:$L$20</c:f>
              <c:numCache>
                <c:ptCount val="19"/>
                <c:pt idx="0">
                  <c:v>64.60976080246914</c:v>
                </c:pt>
                <c:pt idx="1">
                  <c:v>69.97216049382718</c:v>
                </c:pt>
                <c:pt idx="2">
                  <c:v>74.91619598765433</c:v>
                </c:pt>
                <c:pt idx="3">
                  <c:v>79.44186728395063</c:v>
                </c:pt>
                <c:pt idx="4">
                  <c:v>83.54917438271607</c:v>
                </c:pt>
                <c:pt idx="5">
                  <c:v>87.23811728395061</c:v>
                </c:pt>
                <c:pt idx="6">
                  <c:v>90.50869598765432</c:v>
                </c:pt>
                <c:pt idx="7">
                  <c:v>93.36091049382716</c:v>
                </c:pt>
                <c:pt idx="8">
                  <c:v>95.79476080246914</c:v>
                </c:pt>
                <c:pt idx="9">
                  <c:v>97.81024691358026</c:v>
                </c:pt>
                <c:pt idx="10">
                  <c:v>99.4073688271605</c:v>
                </c:pt>
                <c:pt idx="11">
                  <c:v>100.5861265432099</c:v>
                </c:pt>
                <c:pt idx="12">
                  <c:v>101.3465200617284</c:v>
                </c:pt>
                <c:pt idx="13">
                  <c:v>101.68854938271606</c:v>
                </c:pt>
                <c:pt idx="14">
                  <c:v>101.61221450617285</c:v>
                </c:pt>
                <c:pt idx="15">
                  <c:v>101.11751543209878</c:v>
                </c:pt>
                <c:pt idx="16">
                  <c:v>100.20445216049384</c:v>
                </c:pt>
                <c:pt idx="17">
                  <c:v>98.87302469135804</c:v>
                </c:pt>
                <c:pt idx="18">
                  <c:v>97.12323302469136</c:v>
                </c:pt>
              </c:numCache>
            </c:numRef>
          </c:val>
        </c:ser>
        <c:ser>
          <c:idx val="11"/>
          <c:order val="11"/>
          <c:tx>
            <c:strRef>
              <c:f>Sheet4!$M$1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Sheet4!$A$2:$A$20</c:f>
              <c:numCache>
                <c:ptCount val="19"/>
                <c:pt idx="0">
                  <c:v>2</c:v>
                </c:pt>
                <c:pt idx="1">
                  <c:v>2.111111111111111</c:v>
                </c:pt>
                <c:pt idx="2">
                  <c:v>2.2222222222222223</c:v>
                </c:pt>
                <c:pt idx="3">
                  <c:v>2.3333333333333335</c:v>
                </c:pt>
                <c:pt idx="4">
                  <c:v>2.4444444444444446</c:v>
                </c:pt>
                <c:pt idx="5">
                  <c:v>2.5555555555555554</c:v>
                </c:pt>
                <c:pt idx="6">
                  <c:v>2.6666666666666665</c:v>
                </c:pt>
                <c:pt idx="7">
                  <c:v>2.7777777777777777</c:v>
                </c:pt>
                <c:pt idx="8">
                  <c:v>2.888888888888889</c:v>
                </c:pt>
                <c:pt idx="9">
                  <c:v>3</c:v>
                </c:pt>
                <c:pt idx="10">
                  <c:v>3.111111111111111</c:v>
                </c:pt>
                <c:pt idx="11">
                  <c:v>3.2222222222222223</c:v>
                </c:pt>
                <c:pt idx="12">
                  <c:v>3.333333333333333</c:v>
                </c:pt>
                <c:pt idx="13">
                  <c:v>3.444444444444444</c:v>
                </c:pt>
                <c:pt idx="14">
                  <c:v>3.5555555555555554</c:v>
                </c:pt>
                <c:pt idx="15">
                  <c:v>3.6666666666666665</c:v>
                </c:pt>
                <c:pt idx="16">
                  <c:v>3.7777777777777777</c:v>
                </c:pt>
                <c:pt idx="17">
                  <c:v>3.888888888888889</c:v>
                </c:pt>
                <c:pt idx="18">
                  <c:v>4</c:v>
                </c:pt>
              </c:numCache>
            </c:numRef>
          </c:cat>
          <c:val>
            <c:numRef>
              <c:f>Sheet4!$M$2:$M$20</c:f>
              <c:numCache>
                <c:ptCount val="19"/>
                <c:pt idx="0">
                  <c:v>64.7058487654321</c:v>
                </c:pt>
                <c:pt idx="1">
                  <c:v>70.1059413580247</c:v>
                </c:pt>
                <c:pt idx="2">
                  <c:v>75.08766975308642</c:v>
                </c:pt>
                <c:pt idx="3">
                  <c:v>79.65103395061729</c:v>
                </c:pt>
                <c:pt idx="4">
                  <c:v>83.79603395061729</c:v>
                </c:pt>
                <c:pt idx="5">
                  <c:v>87.5226697530864</c:v>
                </c:pt>
                <c:pt idx="6">
                  <c:v>90.83094135802467</c:v>
                </c:pt>
                <c:pt idx="7">
                  <c:v>93.7208487654321</c:v>
                </c:pt>
                <c:pt idx="8">
                  <c:v>96.19239197530862</c:v>
                </c:pt>
                <c:pt idx="9">
                  <c:v>98.24557098765432</c:v>
                </c:pt>
                <c:pt idx="10">
                  <c:v>99.88038580246914</c:v>
                </c:pt>
                <c:pt idx="11">
                  <c:v>101.09683641975309</c:v>
                </c:pt>
                <c:pt idx="12">
                  <c:v>101.89492283950617</c:v>
                </c:pt>
                <c:pt idx="13">
                  <c:v>102.27464506172839</c:v>
                </c:pt>
                <c:pt idx="14">
                  <c:v>102.23600308641976</c:v>
                </c:pt>
                <c:pt idx="15">
                  <c:v>101.77899691358024</c:v>
                </c:pt>
                <c:pt idx="16">
                  <c:v>100.90362654320988</c:v>
                </c:pt>
                <c:pt idx="17">
                  <c:v>99.60989197530864</c:v>
                </c:pt>
                <c:pt idx="18">
                  <c:v>97.89779320987655</c:v>
                </c:pt>
              </c:numCache>
            </c:numRef>
          </c:val>
        </c:ser>
        <c:ser>
          <c:idx val="12"/>
          <c:order val="12"/>
          <c:tx>
            <c:strRef>
              <c:f>Sheet4!$N$1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Sheet4!$A$2:$A$20</c:f>
              <c:numCache>
                <c:ptCount val="19"/>
                <c:pt idx="0">
                  <c:v>2</c:v>
                </c:pt>
                <c:pt idx="1">
                  <c:v>2.111111111111111</c:v>
                </c:pt>
                <c:pt idx="2">
                  <c:v>2.2222222222222223</c:v>
                </c:pt>
                <c:pt idx="3">
                  <c:v>2.3333333333333335</c:v>
                </c:pt>
                <c:pt idx="4">
                  <c:v>2.4444444444444446</c:v>
                </c:pt>
                <c:pt idx="5">
                  <c:v>2.5555555555555554</c:v>
                </c:pt>
                <c:pt idx="6">
                  <c:v>2.6666666666666665</c:v>
                </c:pt>
                <c:pt idx="7">
                  <c:v>2.7777777777777777</c:v>
                </c:pt>
                <c:pt idx="8">
                  <c:v>2.888888888888889</c:v>
                </c:pt>
                <c:pt idx="9">
                  <c:v>3</c:v>
                </c:pt>
                <c:pt idx="10">
                  <c:v>3.111111111111111</c:v>
                </c:pt>
                <c:pt idx="11">
                  <c:v>3.2222222222222223</c:v>
                </c:pt>
                <c:pt idx="12">
                  <c:v>3.333333333333333</c:v>
                </c:pt>
                <c:pt idx="13">
                  <c:v>3.444444444444444</c:v>
                </c:pt>
                <c:pt idx="14">
                  <c:v>3.5555555555555554</c:v>
                </c:pt>
                <c:pt idx="15">
                  <c:v>3.6666666666666665</c:v>
                </c:pt>
                <c:pt idx="16">
                  <c:v>3.7777777777777777</c:v>
                </c:pt>
                <c:pt idx="17">
                  <c:v>3.888888888888889</c:v>
                </c:pt>
                <c:pt idx="18">
                  <c:v>4</c:v>
                </c:pt>
              </c:numCache>
            </c:numRef>
          </c:cat>
          <c:val>
            <c:numRef>
              <c:f>Sheet4!$N$2:$N$20</c:f>
              <c:numCache>
                <c:ptCount val="19"/>
                <c:pt idx="0">
                  <c:v>64.65826388888888</c:v>
                </c:pt>
                <c:pt idx="1">
                  <c:v>70.09604938271606</c:v>
                </c:pt>
                <c:pt idx="2">
                  <c:v>75.11547067901235</c:v>
                </c:pt>
                <c:pt idx="3">
                  <c:v>79.71652777777778</c:v>
                </c:pt>
                <c:pt idx="4">
                  <c:v>83.89922067901236</c:v>
                </c:pt>
                <c:pt idx="5">
                  <c:v>87.66354938271604</c:v>
                </c:pt>
                <c:pt idx="6">
                  <c:v>91.00951388888889</c:v>
                </c:pt>
                <c:pt idx="7">
                  <c:v>93.93711419753086</c:v>
                </c:pt>
                <c:pt idx="8">
                  <c:v>96.44635030864197</c:v>
                </c:pt>
                <c:pt idx="9">
                  <c:v>98.53722222222223</c:v>
                </c:pt>
                <c:pt idx="10">
                  <c:v>100.20972993827161</c:v>
                </c:pt>
                <c:pt idx="11">
                  <c:v>101.46387345679014</c:v>
                </c:pt>
                <c:pt idx="12">
                  <c:v>102.29965277777777</c:v>
                </c:pt>
                <c:pt idx="13">
                  <c:v>102.71706790123457</c:v>
                </c:pt>
                <c:pt idx="14">
                  <c:v>102.7161188271605</c:v>
                </c:pt>
                <c:pt idx="15">
                  <c:v>102.29680555555557</c:v>
                </c:pt>
                <c:pt idx="16">
                  <c:v>101.45912808641977</c:v>
                </c:pt>
                <c:pt idx="17">
                  <c:v>100.20308641975309</c:v>
                </c:pt>
                <c:pt idx="18">
                  <c:v>98.52868055555555</c:v>
                </c:pt>
              </c:numCache>
            </c:numRef>
          </c:val>
        </c:ser>
        <c:ser>
          <c:idx val="13"/>
          <c:order val="13"/>
          <c:tx>
            <c:strRef>
              <c:f>Sheet4!$O$1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Sheet4!$A$2:$A$20</c:f>
              <c:numCache>
                <c:ptCount val="19"/>
                <c:pt idx="0">
                  <c:v>2</c:v>
                </c:pt>
                <c:pt idx="1">
                  <c:v>2.111111111111111</c:v>
                </c:pt>
                <c:pt idx="2">
                  <c:v>2.2222222222222223</c:v>
                </c:pt>
                <c:pt idx="3">
                  <c:v>2.3333333333333335</c:v>
                </c:pt>
                <c:pt idx="4">
                  <c:v>2.4444444444444446</c:v>
                </c:pt>
                <c:pt idx="5">
                  <c:v>2.5555555555555554</c:v>
                </c:pt>
                <c:pt idx="6">
                  <c:v>2.6666666666666665</c:v>
                </c:pt>
                <c:pt idx="7">
                  <c:v>2.7777777777777777</c:v>
                </c:pt>
                <c:pt idx="8">
                  <c:v>2.888888888888889</c:v>
                </c:pt>
                <c:pt idx="9">
                  <c:v>3</c:v>
                </c:pt>
                <c:pt idx="10">
                  <c:v>3.111111111111111</c:v>
                </c:pt>
                <c:pt idx="11">
                  <c:v>3.2222222222222223</c:v>
                </c:pt>
                <c:pt idx="12">
                  <c:v>3.333333333333333</c:v>
                </c:pt>
                <c:pt idx="13">
                  <c:v>3.444444444444444</c:v>
                </c:pt>
                <c:pt idx="14">
                  <c:v>3.5555555555555554</c:v>
                </c:pt>
                <c:pt idx="15">
                  <c:v>3.6666666666666665</c:v>
                </c:pt>
                <c:pt idx="16">
                  <c:v>3.7777777777777777</c:v>
                </c:pt>
                <c:pt idx="17">
                  <c:v>3.888888888888889</c:v>
                </c:pt>
                <c:pt idx="18">
                  <c:v>4</c:v>
                </c:pt>
              </c:numCache>
            </c:numRef>
          </c:cat>
          <c:val>
            <c:numRef>
              <c:f>Sheet4!$O$2:$O$20</c:f>
              <c:numCache>
                <c:ptCount val="19"/>
                <c:pt idx="0">
                  <c:v>64.46700617283949</c:v>
                </c:pt>
                <c:pt idx="1">
                  <c:v>69.94248456790125</c:v>
                </c:pt>
                <c:pt idx="2">
                  <c:v>74.99959876543211</c:v>
                </c:pt>
                <c:pt idx="3">
                  <c:v>79.63834876543211</c:v>
                </c:pt>
                <c:pt idx="4">
                  <c:v>83.85873456790125</c:v>
                </c:pt>
                <c:pt idx="5">
                  <c:v>87.6607561728395</c:v>
                </c:pt>
                <c:pt idx="6">
                  <c:v>91.04441358024691</c:v>
                </c:pt>
                <c:pt idx="7">
                  <c:v>94.00970679012346</c:v>
                </c:pt>
                <c:pt idx="8">
                  <c:v>96.55663580246913</c:v>
                </c:pt>
                <c:pt idx="9">
                  <c:v>98.68520061728395</c:v>
                </c:pt>
                <c:pt idx="10">
                  <c:v>100.3954012345679</c:v>
                </c:pt>
                <c:pt idx="11">
                  <c:v>101.687237654321</c:v>
                </c:pt>
                <c:pt idx="12">
                  <c:v>102.5607098765432</c:v>
                </c:pt>
                <c:pt idx="13">
                  <c:v>103.01581790123457</c:v>
                </c:pt>
                <c:pt idx="14">
                  <c:v>103.05256172839506</c:v>
                </c:pt>
                <c:pt idx="15">
                  <c:v>102.67094135802469</c:v>
                </c:pt>
                <c:pt idx="16">
                  <c:v>101.87095679012346</c:v>
                </c:pt>
                <c:pt idx="17">
                  <c:v>100.65260802469136</c:v>
                </c:pt>
                <c:pt idx="18">
                  <c:v>99.0158950617284</c:v>
                </c:pt>
              </c:numCache>
            </c:numRef>
          </c:val>
        </c:ser>
        <c:ser>
          <c:idx val="14"/>
          <c:order val="14"/>
          <c:tx>
            <c:strRef>
              <c:f>Sheet4!$P$1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Sheet4!$A$2:$A$20</c:f>
              <c:numCache>
                <c:ptCount val="19"/>
                <c:pt idx="0">
                  <c:v>2</c:v>
                </c:pt>
                <c:pt idx="1">
                  <c:v>2.111111111111111</c:v>
                </c:pt>
                <c:pt idx="2">
                  <c:v>2.2222222222222223</c:v>
                </c:pt>
                <c:pt idx="3">
                  <c:v>2.3333333333333335</c:v>
                </c:pt>
                <c:pt idx="4">
                  <c:v>2.4444444444444446</c:v>
                </c:pt>
                <c:pt idx="5">
                  <c:v>2.5555555555555554</c:v>
                </c:pt>
                <c:pt idx="6">
                  <c:v>2.6666666666666665</c:v>
                </c:pt>
                <c:pt idx="7">
                  <c:v>2.7777777777777777</c:v>
                </c:pt>
                <c:pt idx="8">
                  <c:v>2.888888888888889</c:v>
                </c:pt>
                <c:pt idx="9">
                  <c:v>3</c:v>
                </c:pt>
                <c:pt idx="10">
                  <c:v>3.111111111111111</c:v>
                </c:pt>
                <c:pt idx="11">
                  <c:v>3.2222222222222223</c:v>
                </c:pt>
                <c:pt idx="12">
                  <c:v>3.333333333333333</c:v>
                </c:pt>
                <c:pt idx="13">
                  <c:v>3.444444444444444</c:v>
                </c:pt>
                <c:pt idx="14">
                  <c:v>3.5555555555555554</c:v>
                </c:pt>
                <c:pt idx="15">
                  <c:v>3.6666666666666665</c:v>
                </c:pt>
                <c:pt idx="16">
                  <c:v>3.7777777777777777</c:v>
                </c:pt>
                <c:pt idx="17">
                  <c:v>3.888888888888889</c:v>
                </c:pt>
                <c:pt idx="18">
                  <c:v>4</c:v>
                </c:pt>
              </c:numCache>
            </c:numRef>
          </c:cat>
          <c:val>
            <c:numRef>
              <c:f>Sheet4!$P$2:$P$20</c:f>
              <c:numCache>
                <c:ptCount val="19"/>
                <c:pt idx="0">
                  <c:v>64.13207561728395</c:v>
                </c:pt>
                <c:pt idx="1">
                  <c:v>69.64524691358025</c:v>
                </c:pt>
                <c:pt idx="2">
                  <c:v>74.7400540123457</c:v>
                </c:pt>
                <c:pt idx="3">
                  <c:v>79.41649691358026</c:v>
                </c:pt>
                <c:pt idx="4">
                  <c:v>83.67457561728396</c:v>
                </c:pt>
                <c:pt idx="5">
                  <c:v>87.51429012345679</c:v>
                </c:pt>
                <c:pt idx="6">
                  <c:v>90.93564043209877</c:v>
                </c:pt>
                <c:pt idx="7">
                  <c:v>93.93862654320988</c:v>
                </c:pt>
                <c:pt idx="8">
                  <c:v>96.52324845679013</c:v>
                </c:pt>
                <c:pt idx="9">
                  <c:v>98.68950617283951</c:v>
                </c:pt>
                <c:pt idx="10">
                  <c:v>100.43739969135802</c:v>
                </c:pt>
                <c:pt idx="11">
                  <c:v>101.7669290123457</c:v>
                </c:pt>
                <c:pt idx="12">
                  <c:v>102.67809413580247</c:v>
                </c:pt>
                <c:pt idx="13">
                  <c:v>103.1708950617284</c:v>
                </c:pt>
                <c:pt idx="14">
                  <c:v>103.24533179012347</c:v>
                </c:pt>
                <c:pt idx="15">
                  <c:v>102.90140432098767</c:v>
                </c:pt>
                <c:pt idx="16">
                  <c:v>102.139112654321</c:v>
                </c:pt>
                <c:pt idx="17">
                  <c:v>100.95845679012348</c:v>
                </c:pt>
                <c:pt idx="18">
                  <c:v>99.35943672839507</c:v>
                </c:pt>
              </c:numCache>
            </c:numRef>
          </c:val>
        </c:ser>
        <c:ser>
          <c:idx val="15"/>
          <c:order val="15"/>
          <c:tx>
            <c:strRef>
              <c:f>Sheet4!$Q$1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Sheet4!$A$2:$A$20</c:f>
              <c:numCache>
                <c:ptCount val="19"/>
                <c:pt idx="0">
                  <c:v>2</c:v>
                </c:pt>
                <c:pt idx="1">
                  <c:v>2.111111111111111</c:v>
                </c:pt>
                <c:pt idx="2">
                  <c:v>2.2222222222222223</c:v>
                </c:pt>
                <c:pt idx="3">
                  <c:v>2.3333333333333335</c:v>
                </c:pt>
                <c:pt idx="4">
                  <c:v>2.4444444444444446</c:v>
                </c:pt>
                <c:pt idx="5">
                  <c:v>2.5555555555555554</c:v>
                </c:pt>
                <c:pt idx="6">
                  <c:v>2.6666666666666665</c:v>
                </c:pt>
                <c:pt idx="7">
                  <c:v>2.7777777777777777</c:v>
                </c:pt>
                <c:pt idx="8">
                  <c:v>2.888888888888889</c:v>
                </c:pt>
                <c:pt idx="9">
                  <c:v>3</c:v>
                </c:pt>
                <c:pt idx="10">
                  <c:v>3.111111111111111</c:v>
                </c:pt>
                <c:pt idx="11">
                  <c:v>3.2222222222222223</c:v>
                </c:pt>
                <c:pt idx="12">
                  <c:v>3.333333333333333</c:v>
                </c:pt>
                <c:pt idx="13">
                  <c:v>3.444444444444444</c:v>
                </c:pt>
                <c:pt idx="14">
                  <c:v>3.5555555555555554</c:v>
                </c:pt>
                <c:pt idx="15">
                  <c:v>3.6666666666666665</c:v>
                </c:pt>
                <c:pt idx="16">
                  <c:v>3.7777777777777777</c:v>
                </c:pt>
                <c:pt idx="17">
                  <c:v>3.888888888888889</c:v>
                </c:pt>
                <c:pt idx="18">
                  <c:v>4</c:v>
                </c:pt>
              </c:numCache>
            </c:numRef>
          </c:cat>
          <c:val>
            <c:numRef>
              <c:f>Sheet4!$Q$2:$Q$20</c:f>
              <c:numCache>
                <c:ptCount val="19"/>
                <c:pt idx="0">
                  <c:v>63.653472222222234</c:v>
                </c:pt>
                <c:pt idx="1">
                  <c:v>69.20433641975309</c:v>
                </c:pt>
                <c:pt idx="2">
                  <c:v>74.3368364197531</c:v>
                </c:pt>
                <c:pt idx="3">
                  <c:v>79.05097222222224</c:v>
                </c:pt>
                <c:pt idx="4">
                  <c:v>83.34674382716051</c:v>
                </c:pt>
                <c:pt idx="5">
                  <c:v>87.2241512345679</c:v>
                </c:pt>
                <c:pt idx="6">
                  <c:v>90.68319444444444</c:v>
                </c:pt>
                <c:pt idx="7">
                  <c:v>93.72387345679013</c:v>
                </c:pt>
                <c:pt idx="8">
                  <c:v>96.34618827160493</c:v>
                </c:pt>
                <c:pt idx="9">
                  <c:v>98.5501388888889</c:v>
                </c:pt>
                <c:pt idx="10">
                  <c:v>100.33572530864198</c:v>
                </c:pt>
                <c:pt idx="11">
                  <c:v>101.70294753086421</c:v>
                </c:pt>
                <c:pt idx="12">
                  <c:v>102.65180555555555</c:v>
                </c:pt>
                <c:pt idx="13">
                  <c:v>103.18229938271605</c:v>
                </c:pt>
                <c:pt idx="14">
                  <c:v>103.29442901234569</c:v>
                </c:pt>
                <c:pt idx="15">
                  <c:v>102.98819444444445</c:v>
                </c:pt>
                <c:pt idx="16">
                  <c:v>102.26359567901235</c:v>
                </c:pt>
                <c:pt idx="17">
                  <c:v>101.1206327160494</c:v>
                </c:pt>
                <c:pt idx="18">
                  <c:v>99.55930555555557</c:v>
                </c:pt>
              </c:numCache>
            </c:numRef>
          </c:val>
        </c:ser>
        <c:ser>
          <c:idx val="16"/>
          <c:order val="16"/>
          <c:tx>
            <c:strRef>
              <c:f>Sheet4!$R$1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Sheet4!$A$2:$A$20</c:f>
              <c:numCache>
                <c:ptCount val="19"/>
                <c:pt idx="0">
                  <c:v>2</c:v>
                </c:pt>
                <c:pt idx="1">
                  <c:v>2.111111111111111</c:v>
                </c:pt>
                <c:pt idx="2">
                  <c:v>2.2222222222222223</c:v>
                </c:pt>
                <c:pt idx="3">
                  <c:v>2.3333333333333335</c:v>
                </c:pt>
                <c:pt idx="4">
                  <c:v>2.4444444444444446</c:v>
                </c:pt>
                <c:pt idx="5">
                  <c:v>2.5555555555555554</c:v>
                </c:pt>
                <c:pt idx="6">
                  <c:v>2.6666666666666665</c:v>
                </c:pt>
                <c:pt idx="7">
                  <c:v>2.7777777777777777</c:v>
                </c:pt>
                <c:pt idx="8">
                  <c:v>2.888888888888889</c:v>
                </c:pt>
                <c:pt idx="9">
                  <c:v>3</c:v>
                </c:pt>
                <c:pt idx="10">
                  <c:v>3.111111111111111</c:v>
                </c:pt>
                <c:pt idx="11">
                  <c:v>3.2222222222222223</c:v>
                </c:pt>
                <c:pt idx="12">
                  <c:v>3.333333333333333</c:v>
                </c:pt>
                <c:pt idx="13">
                  <c:v>3.444444444444444</c:v>
                </c:pt>
                <c:pt idx="14">
                  <c:v>3.5555555555555554</c:v>
                </c:pt>
                <c:pt idx="15">
                  <c:v>3.6666666666666665</c:v>
                </c:pt>
                <c:pt idx="16">
                  <c:v>3.7777777777777777</c:v>
                </c:pt>
                <c:pt idx="17">
                  <c:v>3.888888888888889</c:v>
                </c:pt>
                <c:pt idx="18">
                  <c:v>4</c:v>
                </c:pt>
              </c:numCache>
            </c:numRef>
          </c:cat>
          <c:val>
            <c:numRef>
              <c:f>Sheet4!$R$2:$R$20</c:f>
              <c:numCache>
                <c:ptCount val="19"/>
                <c:pt idx="0">
                  <c:v>63.031195987654336</c:v>
                </c:pt>
                <c:pt idx="1">
                  <c:v>68.61975308641976</c:v>
                </c:pt>
                <c:pt idx="2">
                  <c:v>73.78994598765433</c:v>
                </c:pt>
                <c:pt idx="3">
                  <c:v>78.54177469135804</c:v>
                </c:pt>
                <c:pt idx="4">
                  <c:v>82.87523919753089</c:v>
                </c:pt>
                <c:pt idx="5">
                  <c:v>86.79033950617284</c:v>
                </c:pt>
                <c:pt idx="6">
                  <c:v>90.28707561728395</c:v>
                </c:pt>
                <c:pt idx="7">
                  <c:v>93.3654475308642</c:v>
                </c:pt>
                <c:pt idx="8">
                  <c:v>96.02545524691358</c:v>
                </c:pt>
                <c:pt idx="9">
                  <c:v>98.26709876543211</c:v>
                </c:pt>
                <c:pt idx="10">
                  <c:v>100.09037808641976</c:v>
                </c:pt>
                <c:pt idx="11">
                  <c:v>101.49529320987656</c:v>
                </c:pt>
                <c:pt idx="12">
                  <c:v>102.48184413580246</c:v>
                </c:pt>
                <c:pt idx="13">
                  <c:v>103.05003086419754</c:v>
                </c:pt>
                <c:pt idx="14">
                  <c:v>103.19985339506174</c:v>
                </c:pt>
                <c:pt idx="15">
                  <c:v>102.93131172839507</c:v>
                </c:pt>
                <c:pt idx="16">
                  <c:v>102.24440586419755</c:v>
                </c:pt>
                <c:pt idx="17">
                  <c:v>101.13913580246916</c:v>
                </c:pt>
                <c:pt idx="18">
                  <c:v>99.6155015432099</c:v>
                </c:pt>
              </c:numCache>
            </c:numRef>
          </c:val>
        </c:ser>
        <c:ser>
          <c:idx val="17"/>
          <c:order val="17"/>
          <c:tx>
            <c:strRef>
              <c:f>Sheet4!$S$1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Sheet4!$A$2:$A$20</c:f>
              <c:numCache>
                <c:ptCount val="19"/>
                <c:pt idx="0">
                  <c:v>2</c:v>
                </c:pt>
                <c:pt idx="1">
                  <c:v>2.111111111111111</c:v>
                </c:pt>
                <c:pt idx="2">
                  <c:v>2.2222222222222223</c:v>
                </c:pt>
                <c:pt idx="3">
                  <c:v>2.3333333333333335</c:v>
                </c:pt>
                <c:pt idx="4">
                  <c:v>2.4444444444444446</c:v>
                </c:pt>
                <c:pt idx="5">
                  <c:v>2.5555555555555554</c:v>
                </c:pt>
                <c:pt idx="6">
                  <c:v>2.6666666666666665</c:v>
                </c:pt>
                <c:pt idx="7">
                  <c:v>2.7777777777777777</c:v>
                </c:pt>
                <c:pt idx="8">
                  <c:v>2.888888888888889</c:v>
                </c:pt>
                <c:pt idx="9">
                  <c:v>3</c:v>
                </c:pt>
                <c:pt idx="10">
                  <c:v>3.111111111111111</c:v>
                </c:pt>
                <c:pt idx="11">
                  <c:v>3.2222222222222223</c:v>
                </c:pt>
                <c:pt idx="12">
                  <c:v>3.333333333333333</c:v>
                </c:pt>
                <c:pt idx="13">
                  <c:v>3.444444444444444</c:v>
                </c:pt>
                <c:pt idx="14">
                  <c:v>3.5555555555555554</c:v>
                </c:pt>
                <c:pt idx="15">
                  <c:v>3.6666666666666665</c:v>
                </c:pt>
                <c:pt idx="16">
                  <c:v>3.7777777777777777</c:v>
                </c:pt>
                <c:pt idx="17">
                  <c:v>3.888888888888889</c:v>
                </c:pt>
                <c:pt idx="18">
                  <c:v>4</c:v>
                </c:pt>
              </c:numCache>
            </c:numRef>
          </c:cat>
          <c:val>
            <c:numRef>
              <c:f>Sheet4!$S$2:$S$20</c:f>
              <c:numCache>
                <c:ptCount val="19"/>
                <c:pt idx="0">
                  <c:v>62.265246913580256</c:v>
                </c:pt>
                <c:pt idx="1">
                  <c:v>67.89149691358026</c:v>
                </c:pt>
                <c:pt idx="2">
                  <c:v>73.09938271604939</c:v>
                </c:pt>
                <c:pt idx="3">
                  <c:v>77.88890432098766</c:v>
                </c:pt>
                <c:pt idx="4">
                  <c:v>82.26006172839507</c:v>
                </c:pt>
                <c:pt idx="5">
                  <c:v>86.2128549382716</c:v>
                </c:pt>
                <c:pt idx="6">
                  <c:v>89.74728395061729</c:v>
                </c:pt>
                <c:pt idx="7">
                  <c:v>92.86334876543211</c:v>
                </c:pt>
                <c:pt idx="8">
                  <c:v>95.56104938271605</c:v>
                </c:pt>
                <c:pt idx="9">
                  <c:v>97.84038580246914</c:v>
                </c:pt>
                <c:pt idx="10">
                  <c:v>99.70135802469136</c:v>
                </c:pt>
                <c:pt idx="11">
                  <c:v>101.14396604938273</c:v>
                </c:pt>
                <c:pt idx="12">
                  <c:v>102.1682098765432</c:v>
                </c:pt>
                <c:pt idx="13">
                  <c:v>102.77408950617284</c:v>
                </c:pt>
                <c:pt idx="14">
                  <c:v>102.96160493827162</c:v>
                </c:pt>
                <c:pt idx="15">
                  <c:v>102.73075617283952</c:v>
                </c:pt>
                <c:pt idx="16">
                  <c:v>102.08154320987656</c:v>
                </c:pt>
                <c:pt idx="17">
                  <c:v>101.01396604938273</c:v>
                </c:pt>
                <c:pt idx="18">
                  <c:v>99.52802469135804</c:v>
                </c:pt>
              </c:numCache>
            </c:numRef>
          </c:val>
        </c:ser>
        <c:ser>
          <c:idx val="18"/>
          <c:order val="18"/>
          <c:tx>
            <c:strRef>
              <c:f>Sheet4!$T$1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Sheet4!$A$2:$A$20</c:f>
              <c:numCache>
                <c:ptCount val="19"/>
                <c:pt idx="0">
                  <c:v>2</c:v>
                </c:pt>
                <c:pt idx="1">
                  <c:v>2.111111111111111</c:v>
                </c:pt>
                <c:pt idx="2">
                  <c:v>2.2222222222222223</c:v>
                </c:pt>
                <c:pt idx="3">
                  <c:v>2.3333333333333335</c:v>
                </c:pt>
                <c:pt idx="4">
                  <c:v>2.4444444444444446</c:v>
                </c:pt>
                <c:pt idx="5">
                  <c:v>2.5555555555555554</c:v>
                </c:pt>
                <c:pt idx="6">
                  <c:v>2.6666666666666665</c:v>
                </c:pt>
                <c:pt idx="7">
                  <c:v>2.7777777777777777</c:v>
                </c:pt>
                <c:pt idx="8">
                  <c:v>2.888888888888889</c:v>
                </c:pt>
                <c:pt idx="9">
                  <c:v>3</c:v>
                </c:pt>
                <c:pt idx="10">
                  <c:v>3.111111111111111</c:v>
                </c:pt>
                <c:pt idx="11">
                  <c:v>3.2222222222222223</c:v>
                </c:pt>
                <c:pt idx="12">
                  <c:v>3.333333333333333</c:v>
                </c:pt>
                <c:pt idx="13">
                  <c:v>3.444444444444444</c:v>
                </c:pt>
                <c:pt idx="14">
                  <c:v>3.5555555555555554</c:v>
                </c:pt>
                <c:pt idx="15">
                  <c:v>3.6666666666666665</c:v>
                </c:pt>
                <c:pt idx="16">
                  <c:v>3.7777777777777777</c:v>
                </c:pt>
                <c:pt idx="17">
                  <c:v>3.888888888888889</c:v>
                </c:pt>
                <c:pt idx="18">
                  <c:v>4</c:v>
                </c:pt>
              </c:numCache>
            </c:numRef>
          </c:cat>
          <c:val>
            <c:numRef>
              <c:f>Sheet4!$T$2:$T$20</c:f>
              <c:numCache>
                <c:ptCount val="19"/>
                <c:pt idx="0">
                  <c:v>61.355625</c:v>
                </c:pt>
                <c:pt idx="1">
                  <c:v>67.01956790123458</c:v>
                </c:pt>
                <c:pt idx="2">
                  <c:v>72.26514660493828</c:v>
                </c:pt>
                <c:pt idx="3">
                  <c:v>77.09236111111113</c:v>
                </c:pt>
                <c:pt idx="4">
                  <c:v>81.5012114197531</c:v>
                </c:pt>
                <c:pt idx="5">
                  <c:v>85.49169753086419</c:v>
                </c:pt>
                <c:pt idx="6">
                  <c:v>89.06381944444445</c:v>
                </c:pt>
                <c:pt idx="7">
                  <c:v>92.21757716049383</c:v>
                </c:pt>
                <c:pt idx="8">
                  <c:v>94.95297067901235</c:v>
                </c:pt>
                <c:pt idx="9">
                  <c:v>97.27</c:v>
                </c:pt>
                <c:pt idx="10">
                  <c:v>99.16866512345679</c:v>
                </c:pt>
                <c:pt idx="11">
                  <c:v>100.64896604938274</c:v>
                </c:pt>
                <c:pt idx="12">
                  <c:v>101.71090277777778</c:v>
                </c:pt>
                <c:pt idx="13">
                  <c:v>102.35447530864198</c:v>
                </c:pt>
                <c:pt idx="14">
                  <c:v>102.57968364197532</c:v>
                </c:pt>
                <c:pt idx="15">
                  <c:v>102.38652777777779</c:v>
                </c:pt>
                <c:pt idx="16">
                  <c:v>101.7750077160494</c:v>
                </c:pt>
                <c:pt idx="17">
                  <c:v>100.74512345679014</c:v>
                </c:pt>
                <c:pt idx="18">
                  <c:v>99.296875</c:v>
                </c:pt>
              </c:numCache>
            </c:numRef>
          </c:val>
        </c:ser>
        <c:axId val="54581387"/>
        <c:axId val="21470436"/>
        <c:axId val="59016197"/>
      </c:surface3DChart>
      <c:catAx>
        <c:axId val="54581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Stop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crossAx val="21470436"/>
        <c:crosses val="autoZero"/>
        <c:auto val="1"/>
        <c:lblOffset val="100"/>
        <c:noMultiLvlLbl val="0"/>
      </c:catAx>
      <c:valAx>
        <c:axId val="21470436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581387"/>
        <c:crossesAt val="1"/>
        <c:crossBetween val="midCat"/>
        <c:dispUnits/>
      </c:valAx>
      <c:serAx>
        <c:axId val="59016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Cup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2147043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Pull Back Angle vs Stop Angle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'All Interaction Plots'!$H$11</c:f>
              <c:strCache>
                <c:ptCount val="1"/>
                <c:pt idx="0">
                  <c:v>Stop Angle = 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'All Interaction Plots'!$G$12:$G$14</c:f>
              <c:numCache>
                <c:ptCount val="3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</c:numCache>
            </c:numRef>
          </c:xVal>
          <c:yVal>
            <c:numRef>
              <c:f>'All Interaction Plots'!$H$12:$H$14</c:f>
              <c:numCache>
                <c:ptCount val="3"/>
                <c:pt idx="0">
                  <c:v>27.2875</c:v>
                </c:pt>
                <c:pt idx="1">
                  <c:v>69.75</c:v>
                </c:pt>
                <c:pt idx="2">
                  <c:v>87.125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'All Interaction Plots'!$I$11</c:f>
              <c:strCache>
                <c:ptCount val="1"/>
                <c:pt idx="0">
                  <c:v>Stop Angle = 3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'All Interaction Plots'!$G$12:$G$14</c:f>
              <c:numCache>
                <c:ptCount val="3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</c:numCache>
            </c:numRef>
          </c:xVal>
          <c:yVal>
            <c:numRef>
              <c:f>'All Interaction Plots'!$I$12:$I$14</c:f>
              <c:numCache>
                <c:ptCount val="3"/>
                <c:pt idx="0">
                  <c:v>77.25</c:v>
                </c:pt>
                <c:pt idx="1">
                  <c:v>94.1875</c:v>
                </c:pt>
                <c:pt idx="2">
                  <c:v>117.75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'All Interaction Plots'!$J$11</c:f>
              <c:strCache>
                <c:ptCount val="1"/>
                <c:pt idx="0">
                  <c:v>Stop Angle = 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 Interaction Plots'!$G$12:$G$14</c:f>
              <c:numCache>
                <c:ptCount val="3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</c:numCache>
            </c:numRef>
          </c:xVal>
          <c:yVal>
            <c:numRef>
              <c:f>'All Interaction Plots'!$J$12:$J$14</c:f>
              <c:numCache>
                <c:ptCount val="3"/>
                <c:pt idx="0">
                  <c:v>72.375</c:v>
                </c:pt>
                <c:pt idx="1">
                  <c:v>93</c:v>
                </c:pt>
                <c:pt idx="2">
                  <c:v>110</c:v>
                </c:pt>
              </c:numCache>
            </c:numRef>
          </c:yVal>
          <c:smooth val="0"/>
        </c:ser>
        <c:axId val="16918843"/>
        <c:axId val="18051860"/>
      </c:scatterChart>
      <c:valAx>
        <c:axId val="16918843"/>
        <c:scaling>
          <c:orientation val="minMax"/>
          <c:max val="180"/>
          <c:min val="160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51860"/>
        <c:crosses val="autoZero"/>
        <c:crossBetween val="midCat"/>
        <c:dispUnits/>
        <c:majorUnit val="20"/>
      </c:valAx>
      <c:valAx>
        <c:axId val="18051860"/>
        <c:scaling>
          <c:orientation val="minMax"/>
          <c:max val="117.75"/>
          <c:min val="27.2875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18843"/>
        <c:crosses val="autoZero"/>
        <c:crossBetween val="midCat"/>
        <c:dispUnits/>
        <c:majorUnit val="90.462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Pull Back Angle vs Cup Angle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'All Interaction Plots'!$H$20</c:f>
              <c:strCache>
                <c:ptCount val="1"/>
                <c:pt idx="0">
                  <c:v>Cup Angle = 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'All Interaction Plots'!$G$21:$G$23</c:f>
              <c:numCache>
                <c:ptCount val="3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</c:numCache>
            </c:numRef>
          </c:xVal>
          <c:yVal>
            <c:numRef>
              <c:f>'All Interaction Plots'!$H$21:$H$23</c:f>
              <c:numCache>
                <c:ptCount val="3"/>
                <c:pt idx="0">
                  <c:v>48.25</c:v>
                </c:pt>
                <c:pt idx="1">
                  <c:v>84.75</c:v>
                </c:pt>
                <c:pt idx="2">
                  <c:v>89.375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'All Interaction Plots'!$I$20</c:f>
              <c:strCache>
                <c:ptCount val="1"/>
                <c:pt idx="0">
                  <c:v>Cup Angle = 45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'All Interaction Plots'!$G$21:$G$23</c:f>
              <c:numCache>
                <c:ptCount val="3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</c:numCache>
            </c:numRef>
          </c:xVal>
          <c:yVal>
            <c:numRef>
              <c:f>'All Interaction Plots'!$I$21:$I$23</c:f>
              <c:numCache>
                <c:ptCount val="3"/>
                <c:pt idx="0">
                  <c:v>77.25</c:v>
                </c:pt>
                <c:pt idx="1">
                  <c:v>88.625</c:v>
                </c:pt>
                <c:pt idx="2">
                  <c:v>117.75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'All Interaction Plots'!$J$20</c:f>
              <c:strCache>
                <c:ptCount val="1"/>
                <c:pt idx="0">
                  <c:v>Cup Angle = 90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 Interaction Plots'!$G$21:$G$23</c:f>
              <c:numCache>
                <c:ptCount val="3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</c:numCache>
            </c:numRef>
          </c:xVal>
          <c:yVal>
            <c:numRef>
              <c:f>'All Interaction Plots'!$J$21:$J$23</c:f>
              <c:numCache>
                <c:ptCount val="3"/>
                <c:pt idx="0">
                  <c:v>51.4125</c:v>
                </c:pt>
                <c:pt idx="1">
                  <c:v>100.25</c:v>
                </c:pt>
                <c:pt idx="2">
                  <c:v>107.75</c:v>
                </c:pt>
              </c:numCache>
            </c:numRef>
          </c:yVal>
          <c:smooth val="0"/>
        </c:ser>
        <c:axId val="28249013"/>
        <c:axId val="52914526"/>
      </c:scatterChart>
      <c:valAx>
        <c:axId val="28249013"/>
        <c:scaling>
          <c:orientation val="minMax"/>
          <c:max val="180"/>
          <c:min val="160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14526"/>
        <c:crosses val="autoZero"/>
        <c:crossBetween val="midCat"/>
        <c:dispUnits/>
        <c:majorUnit val="20"/>
      </c:valAx>
      <c:valAx>
        <c:axId val="52914526"/>
        <c:scaling>
          <c:orientation val="minMax"/>
          <c:max val="117.75"/>
          <c:min val="27.2875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49013"/>
        <c:crosses val="autoZero"/>
        <c:crossBetween val="midCat"/>
        <c:dispUnits/>
        <c:majorUnit val="90.462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Stop Angle vs Pull Back Angle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'All Interaction Plots'!$H$29</c:f>
              <c:strCache>
                <c:ptCount val="1"/>
                <c:pt idx="0">
                  <c:v>Pull Back Angle = 160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'All Interaction Plots'!$G$30:$G$32</c:f>
              <c:numCach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xVal>
          <c:yVal>
            <c:numRef>
              <c:f>'All Interaction Plots'!$H$30:$H$32</c:f>
              <c:numCache>
                <c:ptCount val="3"/>
                <c:pt idx="0">
                  <c:v>27.2875</c:v>
                </c:pt>
                <c:pt idx="1">
                  <c:v>77.25</c:v>
                </c:pt>
                <c:pt idx="2">
                  <c:v>72.375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'All Interaction Plots'!$I$29</c:f>
              <c:strCache>
                <c:ptCount val="1"/>
                <c:pt idx="0">
                  <c:v>Pull Back Angle = 170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'All Interaction Plots'!$G$30:$G$32</c:f>
              <c:numCach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xVal>
          <c:yVal>
            <c:numRef>
              <c:f>'All Interaction Plots'!$I$30:$I$32</c:f>
              <c:numCache>
                <c:ptCount val="3"/>
                <c:pt idx="0">
                  <c:v>69.75</c:v>
                </c:pt>
                <c:pt idx="1">
                  <c:v>94.1875</c:v>
                </c:pt>
                <c:pt idx="2">
                  <c:v>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'All Interaction Plots'!$J$29</c:f>
              <c:strCache>
                <c:ptCount val="1"/>
                <c:pt idx="0">
                  <c:v>Pull Back Angle = 180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 Interaction Plots'!$G$30:$G$32</c:f>
              <c:numCach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xVal>
          <c:yVal>
            <c:numRef>
              <c:f>'All Interaction Plots'!$J$30:$J$32</c:f>
              <c:numCache>
                <c:ptCount val="3"/>
                <c:pt idx="0">
                  <c:v>87.125</c:v>
                </c:pt>
                <c:pt idx="1">
                  <c:v>117.75</c:v>
                </c:pt>
                <c:pt idx="2">
                  <c:v>110</c:v>
                </c:pt>
              </c:numCache>
            </c:numRef>
          </c:yVal>
          <c:smooth val="0"/>
        </c:ser>
        <c:axId val="6468687"/>
        <c:axId val="58218184"/>
      </c:scatterChart>
      <c:valAx>
        <c:axId val="6468687"/>
        <c:scaling>
          <c:orientation val="minMax"/>
          <c:max val="4"/>
          <c:min val="2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18184"/>
        <c:crosses val="autoZero"/>
        <c:crossBetween val="midCat"/>
        <c:dispUnits/>
        <c:majorUnit val="2"/>
      </c:valAx>
      <c:valAx>
        <c:axId val="58218184"/>
        <c:scaling>
          <c:orientation val="minMax"/>
          <c:max val="117.75"/>
          <c:min val="27.2875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8687"/>
        <c:crosses val="autoZero"/>
        <c:crossBetween val="midCat"/>
        <c:dispUnits/>
        <c:majorUnit val="90.462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Marginal Means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'All Interaction Plots'!$G$39:$G$41</c:f>
              <c:numCach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xVal>
          <c:yVal>
            <c:numRef>
              <c:f>'All Interaction Plots'!$H$39:$H$41</c:f>
              <c:numCache>
                <c:ptCount val="3"/>
                <c:pt idx="0">
                  <c:v>59.715</c:v>
                </c:pt>
                <c:pt idx="1">
                  <c:v>95.29166666666667</c:v>
                </c:pt>
                <c:pt idx="2">
                  <c:v>91.55</c:v>
                </c:pt>
              </c:numCache>
            </c:numRef>
          </c:yVal>
          <c:smooth val="0"/>
        </c:ser>
        <c:axId val="54201609"/>
        <c:axId val="18052434"/>
      </c:scatterChart>
      <c:valAx>
        <c:axId val="54201609"/>
        <c:scaling>
          <c:orientation val="minMax"/>
          <c:max val="4"/>
          <c:min val="2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52434"/>
        <c:crosses val="autoZero"/>
        <c:crossBetween val="midCat"/>
        <c:dispUnits/>
        <c:majorUnit val="2"/>
      </c:valAx>
      <c:valAx>
        <c:axId val="18052434"/>
        <c:scaling>
          <c:orientation val="minMax"/>
          <c:max val="102.4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01609"/>
        <c:crosses val="autoZero"/>
        <c:crossBetween val="midCat"/>
        <c:dispUnits/>
        <c:majorUnit val="102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Stop Angle vs Cup Angle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'All Interaction Plots'!$H$47</c:f>
              <c:strCache>
                <c:ptCount val="1"/>
                <c:pt idx="0">
                  <c:v>Cup Angle = 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'All Interaction Plots'!$G$48:$G$50</c:f>
              <c:numCach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xVal>
          <c:yVal>
            <c:numRef>
              <c:f>'All Interaction Plots'!$H$48:$H$50</c:f>
              <c:numCache>
                <c:ptCount val="3"/>
                <c:pt idx="0">
                  <c:v>54.875</c:v>
                </c:pt>
                <c:pt idx="1">
                  <c:v>84.75</c:v>
                </c:pt>
                <c:pt idx="2">
                  <c:v>82.75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'All Interaction Plots'!$I$47</c:f>
              <c:strCache>
                <c:ptCount val="1"/>
                <c:pt idx="0">
                  <c:v>Cup Angle = 45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'All Interaction Plots'!$G$48:$G$50</c:f>
              <c:numCach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xVal>
          <c:yVal>
            <c:numRef>
              <c:f>'All Interaction Plots'!$I$48:$I$50</c:f>
              <c:numCache>
                <c:ptCount val="3"/>
                <c:pt idx="0">
                  <c:v>69.75</c:v>
                </c:pt>
                <c:pt idx="1">
                  <c:v>96.6875</c:v>
                </c:pt>
                <c:pt idx="2">
                  <c:v>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'All Interaction Plots'!$J$47</c:f>
              <c:strCache>
                <c:ptCount val="1"/>
                <c:pt idx="0">
                  <c:v>Cup Angle = 90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 Interaction Plots'!$G$48:$G$50</c:f>
              <c:numCach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xVal>
          <c:yVal>
            <c:numRef>
              <c:f>'All Interaction Plots'!$J$48:$J$50</c:f>
              <c:numCache>
                <c:ptCount val="3"/>
                <c:pt idx="0">
                  <c:v>59.5375</c:v>
                </c:pt>
                <c:pt idx="1">
                  <c:v>100.25</c:v>
                </c:pt>
                <c:pt idx="2">
                  <c:v>99.625</c:v>
                </c:pt>
              </c:numCache>
            </c:numRef>
          </c:yVal>
          <c:smooth val="0"/>
        </c:ser>
        <c:axId val="28254179"/>
        <c:axId val="52961020"/>
      </c:scatterChart>
      <c:valAx>
        <c:axId val="28254179"/>
        <c:scaling>
          <c:orientation val="minMax"/>
          <c:max val="4"/>
          <c:min val="2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61020"/>
        <c:crosses val="autoZero"/>
        <c:crossBetween val="midCat"/>
        <c:dispUnits/>
        <c:majorUnit val="2"/>
      </c:valAx>
      <c:valAx>
        <c:axId val="52961020"/>
        <c:scaling>
          <c:orientation val="minMax"/>
          <c:max val="117.75"/>
          <c:min val="27.2875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54179"/>
        <c:crosses val="autoZero"/>
        <c:crossBetween val="midCat"/>
        <c:dispUnits/>
        <c:majorUnit val="90.462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Cup Angle vs Pull Back Angle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'All Interaction Plots'!$H$56</c:f>
              <c:strCache>
                <c:ptCount val="1"/>
                <c:pt idx="0">
                  <c:v>Pull Back Angle = 160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'All Interaction Plots'!$G$57:$G$59</c:f>
              <c:numCache>
                <c:ptCount val="3"/>
                <c:pt idx="0">
                  <c:v>0</c:v>
                </c:pt>
                <c:pt idx="1">
                  <c:v>45</c:v>
                </c:pt>
                <c:pt idx="2">
                  <c:v>90</c:v>
                </c:pt>
              </c:numCache>
            </c:numRef>
          </c:xVal>
          <c:yVal>
            <c:numRef>
              <c:f>'All Interaction Plots'!$H$57:$H$59</c:f>
              <c:numCache>
                <c:ptCount val="3"/>
                <c:pt idx="0">
                  <c:v>48.25</c:v>
                </c:pt>
                <c:pt idx="1">
                  <c:v>77.25</c:v>
                </c:pt>
                <c:pt idx="2">
                  <c:v>51.4125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'All Interaction Plots'!$I$56</c:f>
              <c:strCache>
                <c:ptCount val="1"/>
                <c:pt idx="0">
                  <c:v>Pull Back Angle = 170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'All Interaction Plots'!$G$57:$G$59</c:f>
              <c:numCache>
                <c:ptCount val="3"/>
                <c:pt idx="0">
                  <c:v>0</c:v>
                </c:pt>
                <c:pt idx="1">
                  <c:v>45</c:v>
                </c:pt>
                <c:pt idx="2">
                  <c:v>90</c:v>
                </c:pt>
              </c:numCache>
            </c:numRef>
          </c:xVal>
          <c:yVal>
            <c:numRef>
              <c:f>'All Interaction Plots'!$I$57:$I$59</c:f>
              <c:numCache>
                <c:ptCount val="3"/>
                <c:pt idx="0">
                  <c:v>84.75</c:v>
                </c:pt>
                <c:pt idx="1">
                  <c:v>88.625</c:v>
                </c:pt>
                <c:pt idx="2">
                  <c:v>100.25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'All Interaction Plots'!$J$56</c:f>
              <c:strCache>
                <c:ptCount val="1"/>
                <c:pt idx="0">
                  <c:v>Pull Back Angle = 180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 Interaction Plots'!$G$57:$G$59</c:f>
              <c:numCache>
                <c:ptCount val="3"/>
                <c:pt idx="0">
                  <c:v>0</c:v>
                </c:pt>
                <c:pt idx="1">
                  <c:v>45</c:v>
                </c:pt>
                <c:pt idx="2">
                  <c:v>90</c:v>
                </c:pt>
              </c:numCache>
            </c:numRef>
          </c:xVal>
          <c:yVal>
            <c:numRef>
              <c:f>'All Interaction Plots'!$J$57:$J$59</c:f>
              <c:numCache>
                <c:ptCount val="3"/>
                <c:pt idx="0">
                  <c:v>89.375</c:v>
                </c:pt>
                <c:pt idx="1">
                  <c:v>117.75</c:v>
                </c:pt>
                <c:pt idx="2">
                  <c:v>107.75</c:v>
                </c:pt>
              </c:numCache>
            </c:numRef>
          </c:yVal>
          <c:smooth val="0"/>
        </c:ser>
        <c:axId val="6887133"/>
        <c:axId val="61984198"/>
      </c:scatterChart>
      <c:valAx>
        <c:axId val="6887133"/>
        <c:scaling>
          <c:orientation val="minMax"/>
          <c:max val="90"/>
          <c:min val="0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84198"/>
        <c:crosses val="autoZero"/>
        <c:crossBetween val="midCat"/>
        <c:dispUnits/>
        <c:majorUnit val="90"/>
      </c:valAx>
      <c:valAx>
        <c:axId val="61984198"/>
        <c:scaling>
          <c:orientation val="minMax"/>
          <c:max val="117.75"/>
          <c:min val="27.2875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87133"/>
        <c:crosses val="autoZero"/>
        <c:crossBetween val="midCat"/>
        <c:dispUnits/>
        <c:majorUnit val="90.462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Cup Angle vs Stop Angle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'All Interaction Plots'!$H$65</c:f>
              <c:strCache>
                <c:ptCount val="1"/>
                <c:pt idx="0">
                  <c:v>Stop Angle = 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'All Interaction Plots'!$G$66:$G$68</c:f>
              <c:numCache>
                <c:ptCount val="3"/>
                <c:pt idx="0">
                  <c:v>0</c:v>
                </c:pt>
                <c:pt idx="1">
                  <c:v>45</c:v>
                </c:pt>
                <c:pt idx="2">
                  <c:v>90</c:v>
                </c:pt>
              </c:numCache>
            </c:numRef>
          </c:xVal>
          <c:yVal>
            <c:numRef>
              <c:f>'All Interaction Plots'!$H$66:$H$68</c:f>
              <c:numCache>
                <c:ptCount val="3"/>
                <c:pt idx="0">
                  <c:v>54.875</c:v>
                </c:pt>
                <c:pt idx="1">
                  <c:v>69.75</c:v>
                </c:pt>
                <c:pt idx="2">
                  <c:v>59.5375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'All Interaction Plots'!$I$65</c:f>
              <c:strCache>
                <c:ptCount val="1"/>
                <c:pt idx="0">
                  <c:v>Stop Angle = 3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'All Interaction Plots'!$G$66:$G$68</c:f>
              <c:numCache>
                <c:ptCount val="3"/>
                <c:pt idx="0">
                  <c:v>0</c:v>
                </c:pt>
                <c:pt idx="1">
                  <c:v>45</c:v>
                </c:pt>
                <c:pt idx="2">
                  <c:v>90</c:v>
                </c:pt>
              </c:numCache>
            </c:numRef>
          </c:xVal>
          <c:yVal>
            <c:numRef>
              <c:f>'All Interaction Plots'!$I$66:$I$68</c:f>
              <c:numCache>
                <c:ptCount val="3"/>
                <c:pt idx="0">
                  <c:v>84.75</c:v>
                </c:pt>
                <c:pt idx="1">
                  <c:v>96.6875</c:v>
                </c:pt>
                <c:pt idx="2">
                  <c:v>100.25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'All Interaction Plots'!$J$65</c:f>
              <c:strCache>
                <c:ptCount val="1"/>
                <c:pt idx="0">
                  <c:v>Stop Angle = 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'All Interaction Plots'!$G$66:$G$68</c:f>
              <c:numCache>
                <c:ptCount val="3"/>
                <c:pt idx="0">
                  <c:v>0</c:v>
                </c:pt>
                <c:pt idx="1">
                  <c:v>45</c:v>
                </c:pt>
                <c:pt idx="2">
                  <c:v>90</c:v>
                </c:pt>
              </c:numCache>
            </c:numRef>
          </c:xVal>
          <c:yVal>
            <c:numRef>
              <c:f>'All Interaction Plots'!$J$66:$J$68</c:f>
              <c:numCache>
                <c:ptCount val="3"/>
                <c:pt idx="0">
                  <c:v>82.75</c:v>
                </c:pt>
                <c:pt idx="1">
                  <c:v>93</c:v>
                </c:pt>
                <c:pt idx="2">
                  <c:v>99.625</c:v>
                </c:pt>
              </c:numCache>
            </c:numRef>
          </c:yVal>
          <c:smooth val="0"/>
        </c:ser>
        <c:axId val="20986871"/>
        <c:axId val="54664112"/>
      </c:scatterChart>
      <c:valAx>
        <c:axId val="20986871"/>
        <c:scaling>
          <c:orientation val="minMax"/>
          <c:max val="90"/>
          <c:min val="0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64112"/>
        <c:crosses val="autoZero"/>
        <c:crossBetween val="midCat"/>
        <c:dispUnits/>
        <c:majorUnit val="90"/>
      </c:valAx>
      <c:valAx>
        <c:axId val="54664112"/>
        <c:scaling>
          <c:orientation val="minMax"/>
          <c:max val="117.75"/>
          <c:min val="27.2875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86871"/>
        <c:crosses val="autoZero"/>
        <c:crossBetween val="midCat"/>
        <c:dispUnits/>
        <c:majorUnit val="90.462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Marginal Means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'All Interaction Plots'!$G$75:$G$77</c:f>
              <c:numCache>
                <c:ptCount val="3"/>
                <c:pt idx="0">
                  <c:v>0</c:v>
                </c:pt>
                <c:pt idx="1">
                  <c:v>45</c:v>
                </c:pt>
                <c:pt idx="2">
                  <c:v>90</c:v>
                </c:pt>
              </c:numCache>
            </c:numRef>
          </c:xVal>
          <c:yVal>
            <c:numRef>
              <c:f>'All Interaction Plots'!$H$75:$H$77</c:f>
              <c:numCache>
                <c:ptCount val="3"/>
                <c:pt idx="0">
                  <c:v>72</c:v>
                </c:pt>
                <c:pt idx="1">
                  <c:v>91.58333333333333</c:v>
                </c:pt>
                <c:pt idx="2">
                  <c:v>83.715</c:v>
                </c:pt>
              </c:numCache>
            </c:numRef>
          </c:yVal>
          <c:smooth val="0"/>
        </c:ser>
        <c:axId val="22214961"/>
        <c:axId val="65716922"/>
      </c:scatterChart>
      <c:valAx>
        <c:axId val="22214961"/>
        <c:scaling>
          <c:orientation val="minMax"/>
          <c:max val="90"/>
          <c:min val="0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16922"/>
        <c:crosses val="autoZero"/>
        <c:crossBetween val="midCat"/>
        <c:dispUnits/>
        <c:majorUnit val="90"/>
      </c:valAx>
      <c:valAx>
        <c:axId val="65716922"/>
        <c:scaling>
          <c:orientation val="minMax"/>
          <c:max val="102.4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14961"/>
        <c:crosses val="autoZero"/>
        <c:crossBetween val="midCat"/>
        <c:dispUnits/>
        <c:majorUnit val="102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33375" y="266700"/>
        <a:ext cx="204787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2381250" y="266700"/>
        <a:ext cx="2047875" cy="158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3" name="Chart 3"/>
        <xdr:cNvGraphicFramePr/>
      </xdr:nvGraphicFramePr>
      <xdr:xfrm>
        <a:off x="4429125" y="266700"/>
        <a:ext cx="2047875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graphicFrame>
      <xdr:nvGraphicFramePr>
        <xdr:cNvPr id="4" name="Chart 4"/>
        <xdr:cNvGraphicFramePr/>
      </xdr:nvGraphicFramePr>
      <xdr:xfrm>
        <a:off x="333375" y="1847850"/>
        <a:ext cx="2047875" cy="158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3</xdr:row>
      <xdr:rowOff>0</xdr:rowOff>
    </xdr:to>
    <xdr:graphicFrame>
      <xdr:nvGraphicFramePr>
        <xdr:cNvPr id="5" name="Chart 5"/>
        <xdr:cNvGraphicFramePr/>
      </xdr:nvGraphicFramePr>
      <xdr:xfrm>
        <a:off x="2381250" y="1847850"/>
        <a:ext cx="2047875" cy="158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3</xdr:row>
      <xdr:rowOff>0</xdr:rowOff>
    </xdr:to>
    <xdr:graphicFrame>
      <xdr:nvGraphicFramePr>
        <xdr:cNvPr id="6" name="Chart 6"/>
        <xdr:cNvGraphicFramePr/>
      </xdr:nvGraphicFramePr>
      <xdr:xfrm>
        <a:off x="4429125" y="1847850"/>
        <a:ext cx="2047875" cy="1581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333375" y="3429000"/>
        <a:ext cx="2047875" cy="1581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8" name="Chart 8"/>
        <xdr:cNvGraphicFramePr/>
      </xdr:nvGraphicFramePr>
      <xdr:xfrm>
        <a:off x="2381250" y="3429000"/>
        <a:ext cx="2047875" cy="1581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9" name="Chart 9"/>
        <xdr:cNvGraphicFramePr/>
      </xdr:nvGraphicFramePr>
      <xdr:xfrm>
        <a:off x="4429125" y="3429000"/>
        <a:ext cx="2047875" cy="1581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45"/>
  <sheetViews>
    <sheetView workbookViewId="0" topLeftCell="A1">
      <selection activeCell="I23" sqref="I23"/>
    </sheetView>
  </sheetViews>
  <sheetFormatPr defaultColWidth="9.140625" defaultRowHeight="12.75"/>
  <cols>
    <col min="2" max="2" width="14.421875" style="0" bestFit="1" customWidth="1"/>
    <col min="3" max="3" width="10.140625" style="0" bestFit="1" customWidth="1"/>
  </cols>
  <sheetData>
    <row r="1" spans="1:6" ht="12.75">
      <c r="A1" t="s">
        <v>0</v>
      </c>
      <c r="B1" t="s">
        <v>1</v>
      </c>
      <c r="C1" t="s">
        <v>3</v>
      </c>
      <c r="D1" t="s">
        <v>5</v>
      </c>
      <c r="F1" s="4" t="s">
        <v>20</v>
      </c>
    </row>
    <row r="2" spans="1:10" ht="12.75">
      <c r="A2" t="s">
        <v>7</v>
      </c>
      <c r="B2" s="1" t="s">
        <v>2</v>
      </c>
      <c r="C2" s="1" t="s">
        <v>4</v>
      </c>
      <c r="D2" s="1" t="s">
        <v>6</v>
      </c>
      <c r="F2" t="s">
        <v>16</v>
      </c>
      <c r="G2" t="s">
        <v>17</v>
      </c>
      <c r="I2" t="s">
        <v>18</v>
      </c>
      <c r="J2" t="s">
        <v>19</v>
      </c>
    </row>
    <row r="3" spans="1:10" ht="12.75">
      <c r="A3">
        <v>1</v>
      </c>
      <c r="B3" s="1">
        <v>160</v>
      </c>
      <c r="C3" s="1">
        <v>2</v>
      </c>
      <c r="D3" s="1">
        <v>0</v>
      </c>
      <c r="F3" s="2">
        <v>32</v>
      </c>
      <c r="G3" s="2">
        <v>31</v>
      </c>
      <c r="I3" s="3">
        <f aca="true" ca="1" t="shared" si="0" ref="I3:I18">AVERAGE(OFFSET(I3,0,-2,1,-1*rng_DependentDataCols))</f>
        <v>31.5</v>
      </c>
      <c r="J3" s="3">
        <f aca="true" ca="1" t="shared" si="1" ref="J3:J18">STDEV(OFFSET(J3,0,-3,1,-1*rng_DependentDataCols))</f>
        <v>0.7071067811865476</v>
      </c>
    </row>
    <row r="4" spans="1:10" ht="12.75">
      <c r="A4">
        <v>2</v>
      </c>
      <c r="B4" s="1">
        <v>160</v>
      </c>
      <c r="C4" s="1">
        <v>2</v>
      </c>
      <c r="D4" s="1">
        <v>90</v>
      </c>
      <c r="F4" s="2">
        <v>42</v>
      </c>
      <c r="G4" s="2">
        <v>4.15</v>
      </c>
      <c r="I4" s="3">
        <f ca="1" t="shared" si="0"/>
        <v>23.075</v>
      </c>
      <c r="J4" s="3">
        <f ca="1" t="shared" si="1"/>
        <v>26.763991667910826</v>
      </c>
    </row>
    <row r="5" spans="1:10" ht="12.75">
      <c r="A5">
        <v>3</v>
      </c>
      <c r="B5" s="1">
        <v>160</v>
      </c>
      <c r="C5" s="1">
        <v>4</v>
      </c>
      <c r="D5" s="1">
        <v>0</v>
      </c>
      <c r="F5" s="2">
        <v>64</v>
      </c>
      <c r="G5" s="2">
        <v>66</v>
      </c>
      <c r="I5" s="3">
        <f ca="1" t="shared" si="0"/>
        <v>65</v>
      </c>
      <c r="J5" s="3">
        <f ca="1" t="shared" si="1"/>
        <v>1.4142135623730951</v>
      </c>
    </row>
    <row r="6" spans="1:10" ht="12.75">
      <c r="A6">
        <v>4</v>
      </c>
      <c r="B6" s="1">
        <v>160</v>
      </c>
      <c r="C6" s="1">
        <v>4</v>
      </c>
      <c r="D6" s="1">
        <v>90</v>
      </c>
      <c r="F6" s="2">
        <v>80</v>
      </c>
      <c r="G6" s="2">
        <v>79.5</v>
      </c>
      <c r="I6" s="3">
        <f ca="1" t="shared" si="0"/>
        <v>79.75</v>
      </c>
      <c r="J6" s="3">
        <f ca="1" t="shared" si="1"/>
        <v>0.3535533905932738</v>
      </c>
    </row>
    <row r="7" spans="1:10" ht="12.75">
      <c r="A7">
        <v>5</v>
      </c>
      <c r="B7" s="1">
        <v>180</v>
      </c>
      <c r="C7" s="1">
        <v>2</v>
      </c>
      <c r="D7" s="1">
        <v>0</v>
      </c>
      <c r="F7" s="2">
        <v>78</v>
      </c>
      <c r="G7" s="2">
        <v>78.5</v>
      </c>
      <c r="I7" s="3">
        <f ca="1" t="shared" si="0"/>
        <v>78.25</v>
      </c>
      <c r="J7" s="3">
        <f ca="1" t="shared" si="1"/>
        <v>0.3535533905932738</v>
      </c>
    </row>
    <row r="8" spans="1:10" ht="12.75">
      <c r="A8">
        <v>6</v>
      </c>
      <c r="B8" s="1">
        <v>180</v>
      </c>
      <c r="C8" s="1">
        <v>2</v>
      </c>
      <c r="D8" s="1">
        <v>90</v>
      </c>
      <c r="F8" s="2">
        <v>97.5</v>
      </c>
      <c r="G8" s="2">
        <v>94.5</v>
      </c>
      <c r="I8" s="3">
        <f ca="1" t="shared" si="0"/>
        <v>96</v>
      </c>
      <c r="J8" s="3">
        <f ca="1" t="shared" si="1"/>
        <v>2.1213203435596424</v>
      </c>
    </row>
    <row r="9" spans="1:10" ht="12.75">
      <c r="A9">
        <v>7</v>
      </c>
      <c r="B9" s="1">
        <v>180</v>
      </c>
      <c r="C9" s="1">
        <v>4</v>
      </c>
      <c r="D9" s="1">
        <v>0</v>
      </c>
      <c r="F9" s="2">
        <v>98.5</v>
      </c>
      <c r="G9" s="2">
        <v>102.5</v>
      </c>
      <c r="I9" s="3">
        <f ca="1" t="shared" si="0"/>
        <v>100.5</v>
      </c>
      <c r="J9" s="3">
        <f ca="1" t="shared" si="1"/>
        <v>2.8284271247461903</v>
      </c>
    </row>
    <row r="10" spans="1:10" ht="12.75">
      <c r="A10">
        <v>8</v>
      </c>
      <c r="B10" s="1">
        <v>180</v>
      </c>
      <c r="C10" s="1">
        <v>4</v>
      </c>
      <c r="D10" s="1">
        <v>90</v>
      </c>
      <c r="F10" s="2">
        <v>119</v>
      </c>
      <c r="G10" s="2">
        <v>120</v>
      </c>
      <c r="I10" s="3">
        <f ca="1" t="shared" si="0"/>
        <v>119.5</v>
      </c>
      <c r="J10" s="3">
        <f ca="1" t="shared" si="1"/>
        <v>0.7071067811865476</v>
      </c>
    </row>
    <row r="11" spans="1:10" ht="12.75">
      <c r="A11">
        <v>9</v>
      </c>
      <c r="B11" s="1">
        <v>170</v>
      </c>
      <c r="C11" s="1">
        <v>3</v>
      </c>
      <c r="D11" s="1">
        <v>45</v>
      </c>
      <c r="F11" s="2">
        <v>93</v>
      </c>
      <c r="G11" s="2">
        <v>95</v>
      </c>
      <c r="I11" s="3">
        <f ca="1" t="shared" si="0"/>
        <v>94</v>
      </c>
      <c r="J11" s="3">
        <f ca="1" t="shared" si="1"/>
        <v>1.4142135623730951</v>
      </c>
    </row>
    <row r="12" spans="1:10" ht="12.75">
      <c r="A12">
        <v>10</v>
      </c>
      <c r="B12" s="1">
        <v>170</v>
      </c>
      <c r="C12" s="1">
        <v>3</v>
      </c>
      <c r="D12" s="1">
        <v>45</v>
      </c>
      <c r="F12" s="2">
        <v>96.5</v>
      </c>
      <c r="G12" s="2">
        <v>99</v>
      </c>
      <c r="I12" s="3">
        <f ca="1" t="shared" si="0"/>
        <v>97.75</v>
      </c>
      <c r="J12" s="3">
        <f ca="1" t="shared" si="1"/>
        <v>1.7677669529663689</v>
      </c>
    </row>
    <row r="13" spans="1:10" ht="12.75">
      <c r="A13">
        <v>11</v>
      </c>
      <c r="B13" s="1">
        <v>160</v>
      </c>
      <c r="C13" s="1">
        <v>3</v>
      </c>
      <c r="D13" s="1">
        <v>45</v>
      </c>
      <c r="F13" s="2">
        <v>76</v>
      </c>
      <c r="G13" s="2">
        <v>78.5</v>
      </c>
      <c r="I13" s="3">
        <f ca="1" t="shared" si="0"/>
        <v>77.25</v>
      </c>
      <c r="J13" s="3">
        <f ca="1" t="shared" si="1"/>
        <v>1.7677669529663689</v>
      </c>
    </row>
    <row r="14" spans="1:10" ht="12.75">
      <c r="A14">
        <v>12</v>
      </c>
      <c r="B14" s="1">
        <v>180</v>
      </c>
      <c r="C14" s="1">
        <v>3</v>
      </c>
      <c r="D14" s="1">
        <v>45</v>
      </c>
      <c r="F14" s="2">
        <v>118</v>
      </c>
      <c r="G14" s="2">
        <v>117.5</v>
      </c>
      <c r="I14" s="3">
        <f ca="1" t="shared" si="0"/>
        <v>117.75</v>
      </c>
      <c r="J14" s="3">
        <f ca="1" t="shared" si="1"/>
        <v>0.3535533905932738</v>
      </c>
    </row>
    <row r="15" spans="1:10" ht="12.75">
      <c r="A15">
        <v>13</v>
      </c>
      <c r="B15" s="1">
        <v>170</v>
      </c>
      <c r="C15" s="1">
        <v>2</v>
      </c>
      <c r="D15" s="1">
        <v>45</v>
      </c>
      <c r="F15" s="2">
        <v>71</v>
      </c>
      <c r="G15" s="2">
        <v>68.5</v>
      </c>
      <c r="I15" s="3">
        <f ca="1" t="shared" si="0"/>
        <v>69.75</v>
      </c>
      <c r="J15" s="3">
        <f ca="1" t="shared" si="1"/>
        <v>1.7677669529663689</v>
      </c>
    </row>
    <row r="16" spans="1:10" ht="12.75">
      <c r="A16">
        <v>14</v>
      </c>
      <c r="B16" s="1">
        <v>170</v>
      </c>
      <c r="C16" s="1">
        <v>4</v>
      </c>
      <c r="D16" s="1">
        <v>45</v>
      </c>
      <c r="F16" s="2">
        <v>92</v>
      </c>
      <c r="G16" s="2">
        <v>94</v>
      </c>
      <c r="I16" s="3">
        <f ca="1" t="shared" si="0"/>
        <v>93</v>
      </c>
      <c r="J16" s="3">
        <f ca="1" t="shared" si="1"/>
        <v>1.4142135623730951</v>
      </c>
    </row>
    <row r="17" spans="1:10" ht="12.75">
      <c r="A17">
        <v>15</v>
      </c>
      <c r="B17" s="1">
        <v>170</v>
      </c>
      <c r="C17" s="1">
        <v>3</v>
      </c>
      <c r="D17" s="1">
        <v>0</v>
      </c>
      <c r="F17" s="2">
        <v>84</v>
      </c>
      <c r="G17" s="2">
        <v>85.5</v>
      </c>
      <c r="I17" s="3">
        <f ca="1" t="shared" si="0"/>
        <v>84.75</v>
      </c>
      <c r="J17" s="3">
        <f ca="1" t="shared" si="1"/>
        <v>1.0606601717798212</v>
      </c>
    </row>
    <row r="18" spans="1:10" ht="12.75">
      <c r="A18">
        <v>16</v>
      </c>
      <c r="B18" s="1">
        <v>170</v>
      </c>
      <c r="C18" s="1">
        <v>3</v>
      </c>
      <c r="D18" s="1">
        <v>90</v>
      </c>
      <c r="F18" s="2">
        <v>100</v>
      </c>
      <c r="G18" s="2">
        <v>100.5</v>
      </c>
      <c r="I18" s="3">
        <f ca="1" t="shared" si="0"/>
        <v>100.25</v>
      </c>
      <c r="J18" s="3">
        <f ca="1" t="shared" si="1"/>
        <v>0.3535533905932738</v>
      </c>
    </row>
    <row r="42" spans="2:15" ht="12.75" hidden="1">
      <c r="B42" t="s">
        <v>1</v>
      </c>
      <c r="C42" t="s">
        <v>3</v>
      </c>
      <c r="D42" t="s">
        <v>5</v>
      </c>
      <c r="I42" t="s">
        <v>8</v>
      </c>
      <c r="J42" t="s">
        <v>9</v>
      </c>
      <c r="K42" t="s">
        <v>10</v>
      </c>
      <c r="L42" t="s">
        <v>11</v>
      </c>
      <c r="M42" t="s">
        <v>12</v>
      </c>
      <c r="N42" t="s">
        <v>13</v>
      </c>
      <c r="O42" t="s">
        <v>14</v>
      </c>
    </row>
    <row r="43" spans="2:4" ht="12.75" hidden="1">
      <c r="B43">
        <v>160</v>
      </c>
      <c r="C43">
        <v>2</v>
      </c>
      <c r="D43">
        <v>0</v>
      </c>
    </row>
    <row r="44" spans="2:4" ht="12.75" hidden="1">
      <c r="B44">
        <v>180</v>
      </c>
      <c r="C44">
        <v>4</v>
      </c>
      <c r="D44">
        <v>90</v>
      </c>
    </row>
    <row r="45" spans="2:4" ht="12.75" hidden="1">
      <c r="B45">
        <v>1</v>
      </c>
      <c r="C45">
        <v>1</v>
      </c>
      <c r="D45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45"/>
  <sheetViews>
    <sheetView workbookViewId="0" topLeftCell="A1">
      <selection activeCell="D4" sqref="D4"/>
    </sheetView>
  </sheetViews>
  <sheetFormatPr defaultColWidth="9.140625" defaultRowHeight="12.75"/>
  <cols>
    <col min="2" max="2" width="14.421875" style="0" bestFit="1" customWidth="1"/>
    <col min="3" max="3" width="10.140625" style="0" bestFit="1" customWidth="1"/>
  </cols>
  <sheetData>
    <row r="1" spans="1:6" ht="12.75">
      <c r="A1" t="s">
        <v>0</v>
      </c>
      <c r="B1" t="s">
        <v>1</v>
      </c>
      <c r="C1" t="s">
        <v>3</v>
      </c>
      <c r="D1" t="s">
        <v>5</v>
      </c>
      <c r="F1" s="4" t="s">
        <v>15</v>
      </c>
    </row>
    <row r="2" spans="1:10" ht="12.75">
      <c r="A2" t="s">
        <v>7</v>
      </c>
      <c r="B2" s="1" t="s">
        <v>2</v>
      </c>
      <c r="C2" s="1" t="s">
        <v>4</v>
      </c>
      <c r="D2" s="1" t="s">
        <v>6</v>
      </c>
      <c r="F2" t="s">
        <v>16</v>
      </c>
      <c r="G2" t="s">
        <v>17</v>
      </c>
      <c r="I2" t="s">
        <v>18</v>
      </c>
      <c r="J2" t="s">
        <v>19</v>
      </c>
    </row>
    <row r="3" spans="1:10" ht="12.75">
      <c r="A3">
        <v>1</v>
      </c>
      <c r="B3" s="1">
        <v>160</v>
      </c>
      <c r="C3" s="1">
        <v>2</v>
      </c>
      <c r="D3" s="1">
        <v>0</v>
      </c>
      <c r="F3" s="2">
        <v>31.5</v>
      </c>
      <c r="G3" s="2">
        <v>31</v>
      </c>
      <c r="I3" s="3">
        <f aca="true" ca="1" t="shared" si="0" ref="I3:I18">AVERAGE(OFFSET(I3,0,-2,1,-1*rng_DependentDataCols))</f>
        <v>31.25</v>
      </c>
      <c r="J3" s="3">
        <f aca="true" ca="1" t="shared" si="1" ref="J3:J18">STDEV(OFFSET(J3,0,-3,1,-1*rng_DependentDataCols))</f>
        <v>0.3535533905932738</v>
      </c>
    </row>
    <row r="4" spans="1:10" ht="12.75">
      <c r="A4">
        <v>2</v>
      </c>
      <c r="B4" s="1">
        <v>160</v>
      </c>
      <c r="C4" s="1">
        <v>2</v>
      </c>
      <c r="D4" s="1">
        <v>90</v>
      </c>
      <c r="F4" s="2">
        <v>21</v>
      </c>
      <c r="G4" s="2">
        <v>21.5</v>
      </c>
      <c r="I4" s="3">
        <f ca="1" t="shared" si="0"/>
        <v>21.25</v>
      </c>
      <c r="J4" s="3">
        <f ca="1" t="shared" si="1"/>
        <v>0.3535533905932738</v>
      </c>
    </row>
    <row r="5" spans="1:10" ht="12.75">
      <c r="A5">
        <v>3</v>
      </c>
      <c r="B5" s="1">
        <v>160</v>
      </c>
      <c r="C5" s="1">
        <v>4</v>
      </c>
      <c r="D5" s="1">
        <v>0</v>
      </c>
      <c r="F5" s="2">
        <v>63.5</v>
      </c>
      <c r="G5" s="2">
        <v>65.5</v>
      </c>
      <c r="I5" s="3">
        <f ca="1" t="shared" si="0"/>
        <v>64.5</v>
      </c>
      <c r="J5" s="3">
        <f ca="1" t="shared" si="1"/>
        <v>1.4142135623730951</v>
      </c>
    </row>
    <row r="6" spans="1:10" ht="12.75">
      <c r="A6">
        <v>4</v>
      </c>
      <c r="B6" s="1">
        <v>160</v>
      </c>
      <c r="C6" s="1">
        <v>4</v>
      </c>
      <c r="D6" s="1">
        <v>90</v>
      </c>
      <c r="F6" s="2">
        <v>56</v>
      </c>
      <c r="G6" s="2">
        <v>58</v>
      </c>
      <c r="I6" s="3">
        <f ca="1" t="shared" si="0"/>
        <v>57</v>
      </c>
      <c r="J6" s="3">
        <f ca="1" t="shared" si="1"/>
        <v>1.4142135623730951</v>
      </c>
    </row>
    <row r="7" spans="1:10" ht="12.75">
      <c r="A7">
        <v>5</v>
      </c>
      <c r="B7" s="1">
        <v>180</v>
      </c>
      <c r="C7" s="1">
        <v>2</v>
      </c>
      <c r="D7" s="1">
        <v>0</v>
      </c>
      <c r="F7" s="2">
        <v>78.5</v>
      </c>
      <c r="G7" s="2">
        <v>79</v>
      </c>
      <c r="I7" s="3">
        <f ca="1" t="shared" si="0"/>
        <v>78.75</v>
      </c>
      <c r="J7" s="3">
        <f ca="1" t="shared" si="1"/>
        <v>0.3535533905932738</v>
      </c>
    </row>
    <row r="8" spans="1:10" ht="12.75">
      <c r="A8">
        <v>6</v>
      </c>
      <c r="B8" s="1">
        <v>180</v>
      </c>
      <c r="C8" s="1">
        <v>2</v>
      </c>
      <c r="D8" s="1">
        <v>90</v>
      </c>
      <c r="F8" s="2">
        <v>64</v>
      </c>
      <c r="G8" s="2">
        <v>63</v>
      </c>
      <c r="I8" s="3">
        <f ca="1" t="shared" si="0"/>
        <v>63.5</v>
      </c>
      <c r="J8" s="3">
        <f ca="1" t="shared" si="1"/>
        <v>0.7071067811865476</v>
      </c>
    </row>
    <row r="9" spans="1:10" ht="12.75">
      <c r="A9">
        <v>7</v>
      </c>
      <c r="B9" s="1">
        <v>180</v>
      </c>
      <c r="C9" s="1">
        <v>4</v>
      </c>
      <c r="D9" s="1">
        <v>0</v>
      </c>
      <c r="F9" s="2">
        <v>101</v>
      </c>
      <c r="G9" s="2">
        <v>97.5</v>
      </c>
      <c r="I9" s="3">
        <f ca="1" t="shared" si="0"/>
        <v>99.25</v>
      </c>
      <c r="J9" s="3">
        <f ca="1" t="shared" si="1"/>
        <v>2.4748737341529163</v>
      </c>
    </row>
    <row r="10" spans="1:10" ht="12.75">
      <c r="A10">
        <v>8</v>
      </c>
      <c r="B10" s="1">
        <v>180</v>
      </c>
      <c r="C10" s="1">
        <v>4</v>
      </c>
      <c r="D10" s="1">
        <v>90</v>
      </c>
      <c r="F10" s="2">
        <v>89.5</v>
      </c>
      <c r="G10" s="2">
        <v>94</v>
      </c>
      <c r="I10" s="3">
        <f ca="1" t="shared" si="0"/>
        <v>91.75</v>
      </c>
      <c r="J10" s="3">
        <f ca="1" t="shared" si="1"/>
        <v>3.181980515339464</v>
      </c>
    </row>
    <row r="11" spans="1:10" ht="12.75">
      <c r="A11">
        <v>9</v>
      </c>
      <c r="B11" s="1">
        <v>170</v>
      </c>
      <c r="C11" s="1">
        <v>3</v>
      </c>
      <c r="D11" s="1">
        <v>45</v>
      </c>
      <c r="F11" s="2">
        <v>72.5</v>
      </c>
      <c r="G11" s="2">
        <v>72</v>
      </c>
      <c r="I11" s="3">
        <f ca="1" t="shared" si="0"/>
        <v>72.25</v>
      </c>
      <c r="J11" s="3">
        <f ca="1" t="shared" si="1"/>
        <v>0.3535533905932738</v>
      </c>
    </row>
    <row r="12" spans="1:10" ht="12.75">
      <c r="A12">
        <v>10</v>
      </c>
      <c r="B12" s="1">
        <v>170</v>
      </c>
      <c r="C12" s="1">
        <v>3</v>
      </c>
      <c r="D12" s="1">
        <v>45</v>
      </c>
      <c r="F12" s="2">
        <v>75</v>
      </c>
      <c r="G12" s="2">
        <v>75.5</v>
      </c>
      <c r="I12" s="3">
        <f ca="1" t="shared" si="0"/>
        <v>75.25</v>
      </c>
      <c r="J12" s="3">
        <f ca="1" t="shared" si="1"/>
        <v>0.3535533905932738</v>
      </c>
    </row>
    <row r="13" spans="1:10" ht="12.75">
      <c r="A13">
        <v>11</v>
      </c>
      <c r="B13" s="1">
        <v>160</v>
      </c>
      <c r="C13" s="1">
        <v>3</v>
      </c>
      <c r="D13" s="1">
        <v>45</v>
      </c>
      <c r="F13" s="2">
        <v>57</v>
      </c>
      <c r="G13" s="2">
        <v>56.6</v>
      </c>
      <c r="I13" s="3">
        <f ca="1" t="shared" si="0"/>
        <v>56.8</v>
      </c>
      <c r="J13" s="3">
        <f ca="1" t="shared" si="1"/>
        <v>0.2828427124744904</v>
      </c>
    </row>
    <row r="14" spans="1:10" ht="12.75">
      <c r="A14">
        <v>12</v>
      </c>
      <c r="B14" s="1">
        <v>180</v>
      </c>
      <c r="C14" s="1">
        <v>3</v>
      </c>
      <c r="D14" s="1">
        <v>45</v>
      </c>
      <c r="F14" s="2">
        <v>91</v>
      </c>
      <c r="G14" s="2">
        <v>90</v>
      </c>
      <c r="I14" s="3">
        <f ca="1" t="shared" si="0"/>
        <v>90.5</v>
      </c>
      <c r="J14" s="3">
        <f ca="1" t="shared" si="1"/>
        <v>0.7071067811865476</v>
      </c>
    </row>
    <row r="15" spans="1:10" ht="12.75">
      <c r="A15">
        <v>13</v>
      </c>
      <c r="B15" s="1">
        <v>170</v>
      </c>
      <c r="C15" s="1">
        <v>2</v>
      </c>
      <c r="D15" s="1">
        <v>45</v>
      </c>
      <c r="F15" s="2">
        <v>49.5</v>
      </c>
      <c r="G15" s="2">
        <v>48</v>
      </c>
      <c r="I15" s="3">
        <f ca="1" t="shared" si="0"/>
        <v>48.75</v>
      </c>
      <c r="J15" s="3">
        <f ca="1" t="shared" si="1"/>
        <v>1.0606601717798212</v>
      </c>
    </row>
    <row r="16" spans="1:10" ht="12.75">
      <c r="A16">
        <v>14</v>
      </c>
      <c r="B16" s="1">
        <v>170</v>
      </c>
      <c r="C16" s="1">
        <v>4</v>
      </c>
      <c r="D16" s="1">
        <v>45</v>
      </c>
      <c r="F16" s="2">
        <v>76</v>
      </c>
      <c r="G16" s="2">
        <v>73</v>
      </c>
      <c r="I16" s="3">
        <f ca="1" t="shared" si="0"/>
        <v>74.5</v>
      </c>
      <c r="J16" s="3">
        <f ca="1" t="shared" si="1"/>
        <v>2.1213203435596424</v>
      </c>
    </row>
    <row r="17" spans="1:10" ht="12.75">
      <c r="A17">
        <v>15</v>
      </c>
      <c r="B17" s="1">
        <v>170</v>
      </c>
      <c r="C17" s="1">
        <v>3</v>
      </c>
      <c r="D17" s="1">
        <v>0</v>
      </c>
      <c r="F17" s="2">
        <v>84.5</v>
      </c>
      <c r="G17" s="2">
        <v>85</v>
      </c>
      <c r="I17" s="3">
        <f ca="1" t="shared" si="0"/>
        <v>84.75</v>
      </c>
      <c r="J17" s="3">
        <f ca="1" t="shared" si="1"/>
        <v>0.3535533905932738</v>
      </c>
    </row>
    <row r="18" spans="1:10" ht="12.75">
      <c r="A18">
        <v>16</v>
      </c>
      <c r="B18" s="1">
        <v>170</v>
      </c>
      <c r="C18" s="1">
        <v>3</v>
      </c>
      <c r="D18" s="1">
        <v>90</v>
      </c>
      <c r="F18" s="2">
        <v>70.5</v>
      </c>
      <c r="G18" s="2">
        <v>69.5</v>
      </c>
      <c r="I18" s="3">
        <f ca="1" t="shared" si="0"/>
        <v>70</v>
      </c>
      <c r="J18" s="3">
        <f ca="1" t="shared" si="1"/>
        <v>0.7071067811865476</v>
      </c>
    </row>
    <row r="42" spans="2:15" ht="12.75" hidden="1">
      <c r="B42" t="s">
        <v>1</v>
      </c>
      <c r="C42" t="s">
        <v>3</v>
      </c>
      <c r="D42" t="s">
        <v>5</v>
      </c>
      <c r="I42" t="s">
        <v>8</v>
      </c>
      <c r="J42" t="s">
        <v>9</v>
      </c>
      <c r="K42" t="s">
        <v>10</v>
      </c>
      <c r="L42" t="s">
        <v>11</v>
      </c>
      <c r="M42" t="s">
        <v>12</v>
      </c>
      <c r="N42" t="s">
        <v>13</v>
      </c>
      <c r="O42" t="s">
        <v>14</v>
      </c>
    </row>
    <row r="43" spans="2:4" ht="12.75" hidden="1">
      <c r="B43">
        <v>160</v>
      </c>
      <c r="C43">
        <v>2</v>
      </c>
      <c r="D43">
        <v>0</v>
      </c>
    </row>
    <row r="44" spans="2:4" ht="12.75" hidden="1">
      <c r="B44">
        <v>180</v>
      </c>
      <c r="C44">
        <v>4</v>
      </c>
      <c r="D44">
        <v>90</v>
      </c>
    </row>
    <row r="45" spans="2:4" ht="12.75" hidden="1">
      <c r="B45">
        <v>1</v>
      </c>
      <c r="C45">
        <v>1</v>
      </c>
      <c r="D45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123"/>
  <sheetViews>
    <sheetView showGridLines="0" zoomScale="75" zoomScaleNormal="75" workbookViewId="0" topLeftCell="A1">
      <selection activeCell="O36" sqref="O36"/>
    </sheetView>
  </sheetViews>
  <sheetFormatPr defaultColWidth="9.140625" defaultRowHeight="12.75"/>
  <cols>
    <col min="2" max="2" width="13.421875" style="0" bestFit="1" customWidth="1"/>
    <col min="3" max="3" width="14.421875" style="0" bestFit="1" customWidth="1"/>
    <col min="4" max="4" width="9.8515625" style="0" bestFit="1" customWidth="1"/>
    <col min="5" max="5" width="10.00390625" style="0" bestFit="1" customWidth="1"/>
    <col min="6" max="6" width="6.57421875" style="0" customWidth="1"/>
    <col min="7" max="7" width="4.57421875" style="0" customWidth="1"/>
    <col min="8" max="8" width="11.7109375" style="0" bestFit="1" customWidth="1"/>
    <col min="9" max="9" width="10.00390625" style="0" bestFit="1" customWidth="1"/>
    <col min="10" max="10" width="6.57421875" style="0" customWidth="1"/>
    <col min="11" max="11" width="4.57421875" style="0" customWidth="1"/>
    <col min="12" max="14" width="1.7109375" style="0" customWidth="1"/>
    <col min="15" max="15" width="9.7109375" style="0" bestFit="1" customWidth="1"/>
    <col min="16" max="16" width="21.28125" style="0" customWidth="1"/>
    <col min="17" max="17" width="9.8515625" style="0" customWidth="1"/>
    <col min="18" max="18" width="14.421875" style="0" bestFit="1" customWidth="1"/>
    <col min="19" max="19" width="14.28125" style="0" bestFit="1" customWidth="1"/>
    <col min="20" max="21" width="1.7109375" style="0" customWidth="1"/>
    <col min="22" max="22" width="13.7109375" style="0" bestFit="1" customWidth="1"/>
    <col min="23" max="23" width="14.421875" style="0" bestFit="1" customWidth="1"/>
    <col min="24" max="24" width="9.8515625" style="0" bestFit="1" customWidth="1"/>
    <col min="25" max="25" width="10.00390625" style="0" bestFit="1" customWidth="1"/>
    <col min="26" max="26" width="6.57421875" style="0" customWidth="1"/>
    <col min="27" max="27" width="4.57421875" style="0" customWidth="1"/>
    <col min="28" max="28" width="22.00390625" style="0" bestFit="1" customWidth="1"/>
    <col min="29" max="29" width="10.00390625" style="0" bestFit="1" customWidth="1"/>
    <col min="30" max="30" width="6.57421875" style="0" customWidth="1"/>
    <col min="31" max="31" width="4.57421875" style="0" customWidth="1"/>
  </cols>
  <sheetData>
    <row r="4" ht="13.5" thickBot="1"/>
    <row r="5" spans="2:31" ht="14.25" thickBot="1" thickTop="1">
      <c r="B5" s="9" t="s">
        <v>21</v>
      </c>
      <c r="C5" s="10"/>
      <c r="D5" s="11"/>
      <c r="E5" s="12"/>
      <c r="F5" s="12"/>
      <c r="G5" s="13"/>
      <c r="H5" s="11"/>
      <c r="I5" s="12"/>
      <c r="J5" s="12"/>
      <c r="K5" s="13"/>
      <c r="V5" s="9" t="s">
        <v>49</v>
      </c>
      <c r="W5" s="10"/>
      <c r="X5" s="11"/>
      <c r="Y5" s="12"/>
      <c r="Z5" s="12"/>
      <c r="AA5" s="13"/>
      <c r="AB5" s="11"/>
      <c r="AC5" s="12"/>
      <c r="AD5" s="12"/>
      <c r="AE5" s="13"/>
    </row>
    <row r="6" spans="2:31" ht="13.5" thickTop="1">
      <c r="B6" s="14"/>
      <c r="C6" s="15"/>
      <c r="D6" s="14" t="s">
        <v>20</v>
      </c>
      <c r="E6" s="15"/>
      <c r="F6" s="15"/>
      <c r="G6" s="16"/>
      <c r="H6" s="14" t="s">
        <v>15</v>
      </c>
      <c r="I6" s="15"/>
      <c r="J6" s="15"/>
      <c r="K6" s="16"/>
      <c r="O6" s="9" t="s">
        <v>0</v>
      </c>
      <c r="P6" s="10" t="s">
        <v>22</v>
      </c>
      <c r="Q6" s="10" t="s">
        <v>50</v>
      </c>
      <c r="R6" s="10" t="s">
        <v>51</v>
      </c>
      <c r="S6" s="45" t="s">
        <v>52</v>
      </c>
      <c r="V6" s="14"/>
      <c r="W6" s="15"/>
      <c r="X6" s="14" t="s">
        <v>20</v>
      </c>
      <c r="Y6" s="15"/>
      <c r="Z6" s="15"/>
      <c r="AA6" s="16"/>
      <c r="AB6" s="14" t="s">
        <v>15</v>
      </c>
      <c r="AC6" s="15"/>
      <c r="AD6" s="15"/>
      <c r="AE6" s="16"/>
    </row>
    <row r="7" spans="2:31" ht="41.25">
      <c r="B7" s="17" t="s">
        <v>0</v>
      </c>
      <c r="C7" s="18" t="s">
        <v>22</v>
      </c>
      <c r="D7" s="17" t="s">
        <v>37</v>
      </c>
      <c r="E7" s="18" t="s">
        <v>38</v>
      </c>
      <c r="F7" s="18" t="s">
        <v>39</v>
      </c>
      <c r="G7" s="7" t="s">
        <v>40</v>
      </c>
      <c r="H7" s="17" t="s">
        <v>37</v>
      </c>
      <c r="I7" s="18" t="s">
        <v>38</v>
      </c>
      <c r="J7" s="18" t="s">
        <v>39</v>
      </c>
      <c r="K7" s="7" t="s">
        <v>40</v>
      </c>
      <c r="O7" s="8"/>
      <c r="P7" s="5"/>
      <c r="Q7" s="5"/>
      <c r="R7" s="5"/>
      <c r="S7" s="6"/>
      <c r="V7" s="17" t="s">
        <v>0</v>
      </c>
      <c r="W7" s="18" t="s">
        <v>22</v>
      </c>
      <c r="X7" s="17" t="s">
        <v>37</v>
      </c>
      <c r="Y7" s="18" t="s">
        <v>38</v>
      </c>
      <c r="Z7" s="18" t="s">
        <v>39</v>
      </c>
      <c r="AA7" s="7" t="s">
        <v>40</v>
      </c>
      <c r="AB7" s="17" t="s">
        <v>37</v>
      </c>
      <c r="AC7" s="18" t="s">
        <v>38</v>
      </c>
      <c r="AD7" s="18" t="s">
        <v>39</v>
      </c>
      <c r="AE7" s="7" t="s">
        <v>40</v>
      </c>
    </row>
    <row r="8" spans="2:31" ht="12.75">
      <c r="B8" s="19" t="s">
        <v>23</v>
      </c>
      <c r="C8" s="20"/>
      <c r="D8" s="21">
        <v>97.37241379310343</v>
      </c>
      <c r="E8" s="22">
        <v>4.724037932619656E-22</v>
      </c>
      <c r="F8" s="20"/>
      <c r="G8" s="23"/>
      <c r="H8" s="21">
        <v>74.23103448275862</v>
      </c>
      <c r="I8" s="22">
        <v>6.858057537012254E-30</v>
      </c>
      <c r="J8" s="20"/>
      <c r="K8" s="23"/>
      <c r="O8" s="19" t="s">
        <v>1</v>
      </c>
      <c r="P8" s="20" t="s">
        <v>2</v>
      </c>
      <c r="Q8" s="20">
        <v>160</v>
      </c>
      <c r="R8" s="20">
        <v>180</v>
      </c>
      <c r="S8" s="25">
        <v>170</v>
      </c>
      <c r="V8" s="19" t="s">
        <v>23</v>
      </c>
      <c r="W8" s="20"/>
      <c r="X8" s="26">
        <v>0.42426406871192834</v>
      </c>
      <c r="Y8" s="27">
        <v>0.7773448194172978</v>
      </c>
      <c r="Z8" s="20"/>
      <c r="AA8" s="23"/>
      <c r="AB8" s="26">
        <v>0.5266726370217034</v>
      </c>
      <c r="AC8" s="22">
        <v>0.007039935549910245</v>
      </c>
      <c r="AD8" s="20"/>
      <c r="AE8" s="23"/>
    </row>
    <row r="9" spans="1:31" ht="12.75">
      <c r="A9" t="s">
        <v>5</v>
      </c>
      <c r="B9" s="19" t="s">
        <v>1</v>
      </c>
      <c r="C9" s="20" t="s">
        <v>2</v>
      </c>
      <c r="D9" s="21">
        <v>23.5425</v>
      </c>
      <c r="E9" s="22">
        <v>4.3136028578955115E-13</v>
      </c>
      <c r="F9" s="24">
        <v>1</v>
      </c>
      <c r="G9" s="25" t="s">
        <v>41</v>
      </c>
      <c r="H9" s="21">
        <v>19.295</v>
      </c>
      <c r="I9" s="22">
        <v>2.487555584548273E-21</v>
      </c>
      <c r="J9" s="24">
        <v>1</v>
      </c>
      <c r="K9" s="25" t="s">
        <v>41</v>
      </c>
      <c r="O9" s="19" t="s">
        <v>3</v>
      </c>
      <c r="P9" s="20" t="s">
        <v>4</v>
      </c>
      <c r="Q9" s="20">
        <v>2</v>
      </c>
      <c r="R9" s="20">
        <v>4</v>
      </c>
      <c r="S9" s="25">
        <v>3</v>
      </c>
      <c r="U9" t="s">
        <v>5</v>
      </c>
      <c r="V9" s="19" t="s">
        <v>1</v>
      </c>
      <c r="W9" s="20" t="s">
        <v>2</v>
      </c>
      <c r="X9" s="21">
        <v>-2.4642671324351184</v>
      </c>
      <c r="Y9" s="22">
        <v>0.04851276903930419</v>
      </c>
      <c r="Z9" s="24">
        <v>1</v>
      </c>
      <c r="AA9" s="25" t="s">
        <v>41</v>
      </c>
      <c r="AB9" s="26">
        <v>0.36062445840513935</v>
      </c>
      <c r="AC9" s="22">
        <v>0.006354422340926246</v>
      </c>
      <c r="AD9" s="24">
        <v>1</v>
      </c>
      <c r="AE9" s="25" t="s">
        <v>41</v>
      </c>
    </row>
    <row r="10" spans="1:31" ht="13.5" thickBot="1">
      <c r="A10" t="s">
        <v>5</v>
      </c>
      <c r="B10" s="19" t="s">
        <v>3</v>
      </c>
      <c r="C10" s="20" t="s">
        <v>4</v>
      </c>
      <c r="D10" s="21">
        <v>15.9175</v>
      </c>
      <c r="E10" s="22">
        <v>6.553811713068411E-10</v>
      </c>
      <c r="F10" s="24">
        <v>1</v>
      </c>
      <c r="G10" s="25" t="s">
        <v>41</v>
      </c>
      <c r="H10" s="21">
        <v>14.35</v>
      </c>
      <c r="I10" s="22">
        <v>1.1246839786835487E-18</v>
      </c>
      <c r="J10" s="24">
        <v>1</v>
      </c>
      <c r="K10" s="25" t="s">
        <v>41</v>
      </c>
      <c r="O10" s="37" t="s">
        <v>5</v>
      </c>
      <c r="P10" s="41" t="s">
        <v>6</v>
      </c>
      <c r="Q10" s="41">
        <v>0</v>
      </c>
      <c r="R10" s="41">
        <v>90</v>
      </c>
      <c r="S10" s="46">
        <v>45</v>
      </c>
      <c r="U10" t="s">
        <v>5</v>
      </c>
      <c r="V10" s="19" t="s">
        <v>3</v>
      </c>
      <c r="W10" s="20" t="s">
        <v>4</v>
      </c>
      <c r="X10" s="21">
        <v>-2.4996224714944453</v>
      </c>
      <c r="Y10" s="22">
        <v>0.046379944577516596</v>
      </c>
      <c r="Z10" s="24">
        <v>1</v>
      </c>
      <c r="AA10" s="25" t="s">
        <v>41</v>
      </c>
      <c r="AB10" s="26">
        <v>0.7778174593052024</v>
      </c>
      <c r="AC10" s="22">
        <v>0.00019562129283252254</v>
      </c>
      <c r="AD10" s="24">
        <v>1</v>
      </c>
      <c r="AE10" s="25" t="s">
        <v>41</v>
      </c>
    </row>
    <row r="11" spans="1:31" ht="13.5" thickTop="1">
      <c r="A11" t="s">
        <v>5</v>
      </c>
      <c r="B11" s="19" t="s">
        <v>5</v>
      </c>
      <c r="C11" s="20" t="s">
        <v>6</v>
      </c>
      <c r="D11" s="21">
        <v>5.8575</v>
      </c>
      <c r="E11" s="22">
        <v>0.0008006396832036853</v>
      </c>
      <c r="F11" s="24">
        <v>1</v>
      </c>
      <c r="G11" s="25" t="s">
        <v>41</v>
      </c>
      <c r="H11" s="21">
        <v>-5.5</v>
      </c>
      <c r="I11" s="22">
        <v>1.7736352724299945E-10</v>
      </c>
      <c r="J11" s="24">
        <v>1</v>
      </c>
      <c r="K11" s="25" t="s">
        <v>41</v>
      </c>
      <c r="U11" t="s">
        <v>5</v>
      </c>
      <c r="V11" s="19" t="s">
        <v>5</v>
      </c>
      <c r="W11" s="20" t="s">
        <v>6</v>
      </c>
      <c r="X11" s="21">
        <v>2.393556454316463</v>
      </c>
      <c r="Y11" s="44">
        <v>0.05310821637720832</v>
      </c>
      <c r="Z11" s="24">
        <v>1</v>
      </c>
      <c r="AA11" s="25" t="s">
        <v>41</v>
      </c>
      <c r="AB11" s="26">
        <v>0.14142135623730953</v>
      </c>
      <c r="AC11" s="27">
        <v>0.13735055060817755</v>
      </c>
      <c r="AD11" s="24">
        <v>1</v>
      </c>
      <c r="AE11" s="25" t="s">
        <v>59</v>
      </c>
    </row>
    <row r="12" spans="2:31" ht="13.5" thickBot="1">
      <c r="B12" s="19" t="s">
        <v>8</v>
      </c>
      <c r="C12" s="20"/>
      <c r="D12" s="21">
        <v>-5.553125</v>
      </c>
      <c r="E12" s="22">
        <v>0.0032722925893367153</v>
      </c>
      <c r="F12" s="24">
        <v>1</v>
      </c>
      <c r="G12" s="25" t="s">
        <v>41</v>
      </c>
      <c r="H12" s="21">
        <v>-2.53125</v>
      </c>
      <c r="I12" s="22">
        <v>0.00012047575049143854</v>
      </c>
      <c r="J12" s="24">
        <v>1</v>
      </c>
      <c r="K12" s="25" t="s">
        <v>41</v>
      </c>
      <c r="V12" s="19" t="s">
        <v>8</v>
      </c>
      <c r="W12" s="20"/>
      <c r="X12" s="21">
        <v>3.345498958488853</v>
      </c>
      <c r="Y12" s="22">
        <v>0.02533160374240654</v>
      </c>
      <c r="Z12" s="24">
        <v>1</v>
      </c>
      <c r="AA12" s="25" t="s">
        <v>41</v>
      </c>
      <c r="AB12" s="26">
        <v>0.3093592167691145</v>
      </c>
      <c r="AC12" s="22">
        <v>0.0180685807468715</v>
      </c>
      <c r="AD12" s="24">
        <v>1</v>
      </c>
      <c r="AE12" s="25" t="s">
        <v>41</v>
      </c>
    </row>
    <row r="13" spans="2:31" ht="14.25" thickBot="1" thickTop="1">
      <c r="B13" s="19" t="s">
        <v>9</v>
      </c>
      <c r="C13" s="20"/>
      <c r="D13" s="21">
        <v>3.803125</v>
      </c>
      <c r="E13" s="22">
        <v>0.03371004354966449</v>
      </c>
      <c r="F13" s="24">
        <v>1</v>
      </c>
      <c r="G13" s="25" t="s">
        <v>41</v>
      </c>
      <c r="H13" s="26">
        <v>-0.65625</v>
      </c>
      <c r="I13" s="27">
        <v>0.23600874292901197</v>
      </c>
      <c r="J13" s="24">
        <v>1</v>
      </c>
      <c r="K13" s="25" t="s">
        <v>59</v>
      </c>
      <c r="O13" s="52" t="s">
        <v>53</v>
      </c>
      <c r="P13" s="53"/>
      <c r="Q13" s="53"/>
      <c r="R13" s="53"/>
      <c r="S13" s="54"/>
      <c r="V13" s="19" t="s">
        <v>9</v>
      </c>
      <c r="W13" s="20"/>
      <c r="X13" s="21">
        <v>-3.1687222631922163</v>
      </c>
      <c r="Y13" s="22">
        <v>0.030618645488802998</v>
      </c>
      <c r="Z13" s="24">
        <v>1</v>
      </c>
      <c r="AA13" s="25" t="s">
        <v>41</v>
      </c>
      <c r="AB13" s="26">
        <v>0.13258252147247768</v>
      </c>
      <c r="AC13" s="27">
        <v>0.19836597140281415</v>
      </c>
      <c r="AD13" s="24">
        <v>1</v>
      </c>
      <c r="AE13" s="25" t="s">
        <v>59</v>
      </c>
    </row>
    <row r="14" spans="2:31" ht="13.5" thickTop="1">
      <c r="B14" s="19" t="s">
        <v>10</v>
      </c>
      <c r="C14" s="20"/>
      <c r="D14" s="21">
        <v>3.053125</v>
      </c>
      <c r="E14" s="44">
        <v>0.08241002695604498</v>
      </c>
      <c r="F14" s="24">
        <v>1</v>
      </c>
      <c r="G14" s="25" t="s">
        <v>41</v>
      </c>
      <c r="H14" s="21">
        <v>1.28125</v>
      </c>
      <c r="I14" s="22">
        <v>0.026764001804498266</v>
      </c>
      <c r="J14" s="24">
        <v>1</v>
      </c>
      <c r="K14" s="25" t="s">
        <v>41</v>
      </c>
      <c r="O14" s="14"/>
      <c r="P14" s="15"/>
      <c r="Q14" s="15"/>
      <c r="R14" s="15"/>
      <c r="S14" s="16"/>
      <c r="V14" s="19" t="s">
        <v>10</v>
      </c>
      <c r="W14" s="20"/>
      <c r="X14" s="21">
        <v>-3.875829044378764</v>
      </c>
      <c r="Y14" s="22">
        <v>0.014728815714295278</v>
      </c>
      <c r="Z14" s="24">
        <v>1</v>
      </c>
      <c r="AA14" s="25" t="s">
        <v>41</v>
      </c>
      <c r="AB14" s="26">
        <v>0.04419417382415919</v>
      </c>
      <c r="AC14" s="27">
        <v>0.6421797038389829</v>
      </c>
      <c r="AD14" s="24">
        <v>1</v>
      </c>
      <c r="AE14" s="25" t="s">
        <v>59</v>
      </c>
    </row>
    <row r="15" spans="2:31" ht="12.75">
      <c r="B15" s="19" t="s">
        <v>11</v>
      </c>
      <c r="C15" s="20"/>
      <c r="D15" s="21">
        <v>-2.740625</v>
      </c>
      <c r="E15" s="27">
        <v>0.11645781476230743</v>
      </c>
      <c r="F15" s="24">
        <v>1</v>
      </c>
      <c r="G15" s="25" t="s">
        <v>59</v>
      </c>
      <c r="H15" s="26">
        <v>0.65625</v>
      </c>
      <c r="I15" s="27">
        <v>0.23600874292901197</v>
      </c>
      <c r="J15" s="24">
        <v>1</v>
      </c>
      <c r="K15" s="25" t="s">
        <v>59</v>
      </c>
      <c r="O15" s="14"/>
      <c r="P15" s="15"/>
      <c r="Q15" s="15"/>
      <c r="R15" s="47" t="s">
        <v>54</v>
      </c>
      <c r="S15" s="48"/>
      <c r="V15" s="19" t="s">
        <v>11</v>
      </c>
      <c r="W15" s="20"/>
      <c r="X15" s="21">
        <v>2.9035572202472606</v>
      </c>
      <c r="Y15" s="22">
        <v>0.04101955067825356</v>
      </c>
      <c r="Z15" s="24">
        <v>1</v>
      </c>
      <c r="AA15" s="25" t="s">
        <v>41</v>
      </c>
      <c r="AB15" s="26">
        <v>0.04419417382415919</v>
      </c>
      <c r="AC15" s="27">
        <v>0.6421797038389829</v>
      </c>
      <c r="AD15" s="24">
        <v>1</v>
      </c>
      <c r="AE15" s="25" t="s">
        <v>59</v>
      </c>
    </row>
    <row r="16" spans="2:31" ht="12.75">
      <c r="B16" s="19" t="s">
        <v>12</v>
      </c>
      <c r="C16" s="20"/>
      <c r="D16" s="26">
        <v>-0.6211206896551658</v>
      </c>
      <c r="E16" s="27">
        <v>0.8333645355998283</v>
      </c>
      <c r="F16" s="27">
        <v>0.7030303030303038</v>
      </c>
      <c r="G16" s="25" t="s">
        <v>59</v>
      </c>
      <c r="H16" s="26">
        <v>-0.8215517241379477</v>
      </c>
      <c r="I16" s="27">
        <v>0.3905543277140995</v>
      </c>
      <c r="J16" s="27">
        <v>0.7030303030303038</v>
      </c>
      <c r="K16" s="25" t="s">
        <v>59</v>
      </c>
      <c r="O16" s="17"/>
      <c r="P16" s="18" t="s">
        <v>55</v>
      </c>
      <c r="Q16" s="18" t="s">
        <v>56</v>
      </c>
      <c r="R16" s="18" t="s">
        <v>57</v>
      </c>
      <c r="S16" s="43" t="s">
        <v>58</v>
      </c>
      <c r="V16" s="19" t="s">
        <v>12</v>
      </c>
      <c r="W16" s="20"/>
      <c r="X16" s="21">
        <v>1.2197591975467952</v>
      </c>
      <c r="Y16" s="27">
        <v>0.5386490570178638</v>
      </c>
      <c r="Z16" s="27">
        <v>0.7030303030303028</v>
      </c>
      <c r="AA16" s="25" t="s">
        <v>59</v>
      </c>
      <c r="AB16" s="26">
        <v>-0.11825751340533591</v>
      </c>
      <c r="AC16" s="27">
        <v>0.4820913012790703</v>
      </c>
      <c r="AD16" s="27">
        <v>0.7030303030303028</v>
      </c>
      <c r="AE16" s="25" t="s">
        <v>59</v>
      </c>
    </row>
    <row r="17" spans="2:31" ht="12.75">
      <c r="B17" s="19" t="s">
        <v>13</v>
      </c>
      <c r="C17" s="20"/>
      <c r="D17" s="21">
        <v>-16.746120689655164</v>
      </c>
      <c r="E17" s="22">
        <v>1.0609273564883021E-05</v>
      </c>
      <c r="F17" s="27">
        <v>0.7030303030303038</v>
      </c>
      <c r="G17" s="25" t="s">
        <v>41</v>
      </c>
      <c r="H17" s="21">
        <v>-12.846551724137925</v>
      </c>
      <c r="I17" s="22">
        <v>6.019090053910273E-12</v>
      </c>
      <c r="J17" s="27">
        <v>0.7030303030303038</v>
      </c>
      <c r="K17" s="25" t="s">
        <v>41</v>
      </c>
      <c r="O17" s="19" t="s">
        <v>20</v>
      </c>
      <c r="P17" s="27">
        <f>YhatPredictR1</f>
        <v>97.37241379310343</v>
      </c>
      <c r="Q17" s="27">
        <f>ShatPredictR1</f>
        <v>0.42426406871192834</v>
      </c>
      <c r="R17" s="55">
        <f>P17-3*Q17</f>
        <v>96.09962158696764</v>
      </c>
      <c r="S17" s="56">
        <f>P17+3*Q17</f>
        <v>98.64520599923922</v>
      </c>
      <c r="V17" s="19" t="s">
        <v>13</v>
      </c>
      <c r="W17" s="20"/>
      <c r="X17" s="21">
        <v>1.750089283436703</v>
      </c>
      <c r="Y17" s="27">
        <v>0.38738003381717456</v>
      </c>
      <c r="Z17" s="27">
        <v>0.7030303030303028</v>
      </c>
      <c r="AA17" s="25" t="s">
        <v>59</v>
      </c>
      <c r="AB17" s="26">
        <v>0.9777579974338124</v>
      </c>
      <c r="AC17" s="22">
        <v>0.0015089946173706243</v>
      </c>
      <c r="AD17" s="27">
        <v>0.7030303030303028</v>
      </c>
      <c r="AE17" s="25" t="s">
        <v>41</v>
      </c>
    </row>
    <row r="18" spans="2:31" ht="13.5" thickBot="1">
      <c r="B18" s="19" t="s">
        <v>14</v>
      </c>
      <c r="C18" s="20"/>
      <c r="D18" s="21">
        <v>-5.621120689655167</v>
      </c>
      <c r="E18" s="44">
        <v>0.06750824818483944</v>
      </c>
      <c r="F18" s="27">
        <v>0.7030303030303037</v>
      </c>
      <c r="G18" s="25" t="s">
        <v>41</v>
      </c>
      <c r="H18" s="21">
        <v>2.903448275862075</v>
      </c>
      <c r="I18" s="22">
        <v>0.005442506219522608</v>
      </c>
      <c r="J18" s="27">
        <v>0.7030303030303037</v>
      </c>
      <c r="K18" s="25" t="s">
        <v>41</v>
      </c>
      <c r="O18" s="37" t="s">
        <v>15</v>
      </c>
      <c r="P18" s="49">
        <f>YhatPredictR2</f>
        <v>74.23103448275862</v>
      </c>
      <c r="Q18" s="49">
        <f>ShatPredictR2</f>
        <v>0.5266726370217034</v>
      </c>
      <c r="R18" s="50">
        <f>P18-3*Q18</f>
        <v>72.6510165716935</v>
      </c>
      <c r="S18" s="51">
        <f>P18+3*Q18</f>
        <v>75.81105239382373</v>
      </c>
      <c r="V18" s="19" t="s">
        <v>14</v>
      </c>
      <c r="W18" s="20"/>
      <c r="X18" s="26">
        <v>0.8662058069535221</v>
      </c>
      <c r="Y18" s="27">
        <v>0.6591789564452588</v>
      </c>
      <c r="Z18" s="27">
        <v>0.7030303030303028</v>
      </c>
      <c r="AA18" s="25" t="s">
        <v>59</v>
      </c>
      <c r="AB18" s="26">
        <v>-0.08290217434600859</v>
      </c>
      <c r="AC18" s="27">
        <v>0.6174628670561542</v>
      </c>
      <c r="AD18" s="27">
        <v>0.7030303030303028</v>
      </c>
      <c r="AE18" s="25" t="s">
        <v>59</v>
      </c>
    </row>
    <row r="19" spans="2:31" ht="13.5" thickTop="1">
      <c r="B19" s="28"/>
      <c r="C19" s="29"/>
      <c r="D19" s="28"/>
      <c r="E19" s="29"/>
      <c r="F19" s="29"/>
      <c r="G19" s="30"/>
      <c r="H19" s="28"/>
      <c r="I19" s="29"/>
      <c r="J19" s="29"/>
      <c r="K19" s="30"/>
      <c r="V19" s="28"/>
      <c r="W19" s="29"/>
      <c r="X19" s="28"/>
      <c r="Y19" s="29"/>
      <c r="Z19" s="29"/>
      <c r="AA19" s="30"/>
      <c r="AB19" s="28"/>
      <c r="AC19" s="29"/>
      <c r="AD19" s="29"/>
      <c r="AE19" s="30"/>
    </row>
    <row r="20" spans="2:31" ht="14.25">
      <c r="B20" s="28"/>
      <c r="C20" s="15" t="s">
        <v>31</v>
      </c>
      <c r="D20" s="31">
        <v>0.9569627146263696</v>
      </c>
      <c r="E20" s="29"/>
      <c r="F20" s="29"/>
      <c r="G20" s="30"/>
      <c r="H20" s="31">
        <v>0.9928038817104031</v>
      </c>
      <c r="I20" s="29"/>
      <c r="J20" s="29"/>
      <c r="K20" s="30"/>
      <c r="V20" s="28"/>
      <c r="W20" s="15" t="s">
        <v>31</v>
      </c>
      <c r="X20" s="31">
        <v>0.9272346503827038</v>
      </c>
      <c r="Y20" s="29"/>
      <c r="Z20" s="29"/>
      <c r="AA20" s="30"/>
      <c r="AB20" s="31">
        <v>0.9729193396161894</v>
      </c>
      <c r="AC20" s="29"/>
      <c r="AD20" s="29"/>
      <c r="AE20" s="30"/>
    </row>
    <row r="21" spans="2:31" ht="14.25">
      <c r="B21" s="28"/>
      <c r="C21" s="15" t="s">
        <v>32</v>
      </c>
      <c r="D21" s="31">
        <v>0.9364687692103552</v>
      </c>
      <c r="E21" s="29"/>
      <c r="F21" s="29"/>
      <c r="G21" s="30"/>
      <c r="H21" s="31">
        <v>0.989377158715357</v>
      </c>
      <c r="I21" s="29"/>
      <c r="J21" s="29"/>
      <c r="K21" s="30"/>
      <c r="V21" s="28"/>
      <c r="W21" s="15" t="s">
        <v>32</v>
      </c>
      <c r="X21" s="31">
        <v>0.7817039511481114</v>
      </c>
      <c r="Y21" s="29"/>
      <c r="Z21" s="29"/>
      <c r="AA21" s="30"/>
      <c r="AB21" s="31">
        <v>0.9187580188485681</v>
      </c>
      <c r="AC21" s="29"/>
      <c r="AD21" s="29"/>
      <c r="AE21" s="30"/>
    </row>
    <row r="22" spans="2:31" ht="12.75">
      <c r="B22" s="28"/>
      <c r="C22" s="15" t="s">
        <v>24</v>
      </c>
      <c r="D22" s="31">
        <v>6.695301807775998</v>
      </c>
      <c r="E22" s="29"/>
      <c r="F22" s="29"/>
      <c r="G22" s="30"/>
      <c r="H22" s="31">
        <v>2.151732223101731</v>
      </c>
      <c r="I22" s="29"/>
      <c r="J22" s="29"/>
      <c r="K22" s="30"/>
      <c r="V22" s="28"/>
      <c r="W22" s="15" t="s">
        <v>24</v>
      </c>
      <c r="X22" s="31">
        <v>3.002386550729269</v>
      </c>
      <c r="Y22" s="29"/>
      <c r="Z22" s="29"/>
      <c r="AA22" s="30"/>
      <c r="AB22" s="31">
        <v>0.25298902797525025</v>
      </c>
      <c r="AC22" s="29"/>
      <c r="AD22" s="29"/>
      <c r="AE22" s="30"/>
    </row>
    <row r="23" spans="2:31" ht="12.75">
      <c r="B23" s="28"/>
      <c r="C23" s="15" t="s">
        <v>25</v>
      </c>
      <c r="D23" s="31">
        <v>46.6948991617082</v>
      </c>
      <c r="E23" s="29"/>
      <c r="F23" s="29"/>
      <c r="G23" s="30"/>
      <c r="H23" s="31">
        <v>289.72399670055484</v>
      </c>
      <c r="I23" s="29"/>
      <c r="J23" s="29"/>
      <c r="K23" s="30"/>
      <c r="V23" s="28"/>
      <c r="W23" s="15" t="s">
        <v>25</v>
      </c>
      <c r="X23" s="31">
        <v>6.371402427525085</v>
      </c>
      <c r="Y23" s="29"/>
      <c r="Z23" s="29"/>
      <c r="AA23" s="30"/>
      <c r="AB23" s="31">
        <v>17.963360675610193</v>
      </c>
      <c r="AC23" s="29"/>
      <c r="AD23" s="29"/>
      <c r="AE23" s="30"/>
    </row>
    <row r="24" spans="2:31" ht="12.75">
      <c r="B24" s="28"/>
      <c r="C24" s="15" t="s">
        <v>26</v>
      </c>
      <c r="D24" s="31">
        <v>4.517136488475515E-12</v>
      </c>
      <c r="E24" s="29"/>
      <c r="F24" s="29"/>
      <c r="G24" s="30"/>
      <c r="H24" s="31">
        <v>3.6072793291873324E-20</v>
      </c>
      <c r="I24" s="29"/>
      <c r="J24" s="29"/>
      <c r="K24" s="30"/>
      <c r="V24" s="28"/>
      <c r="W24" s="15" t="s">
        <v>26</v>
      </c>
      <c r="X24" s="31">
        <v>0.027110460317157005</v>
      </c>
      <c r="Y24" s="29"/>
      <c r="Z24" s="29"/>
      <c r="AA24" s="30"/>
      <c r="AB24" s="31">
        <v>0.0026190983463797433</v>
      </c>
      <c r="AC24" s="29"/>
      <c r="AD24" s="29"/>
      <c r="AE24" s="30"/>
    </row>
    <row r="25" spans="2:31" ht="15.75">
      <c r="B25" s="28"/>
      <c r="C25" s="15" t="s">
        <v>33</v>
      </c>
      <c r="D25" s="31">
        <v>1.0081859566397997</v>
      </c>
      <c r="E25" s="29"/>
      <c r="F25" s="29"/>
      <c r="G25" s="30"/>
      <c r="H25" s="31">
        <v>6.856657081685957</v>
      </c>
      <c r="I25" s="29"/>
      <c r="J25" s="29"/>
      <c r="K25" s="30"/>
      <c r="V25" s="28"/>
      <c r="W25" s="15" t="s">
        <v>33</v>
      </c>
      <c r="X25" s="31">
        <v>180.0364999999968</v>
      </c>
      <c r="Y25" s="29"/>
      <c r="Z25" s="29"/>
      <c r="AA25" s="30"/>
      <c r="AB25" s="31">
        <v>3750493107305376.5</v>
      </c>
      <c r="AC25" s="29"/>
      <c r="AD25" s="29"/>
      <c r="AE25" s="30"/>
    </row>
    <row r="26" spans="2:31" ht="15.75">
      <c r="B26" s="28"/>
      <c r="C26" s="15" t="s">
        <v>34</v>
      </c>
      <c r="D26" s="31">
        <v>0.4306421217205114</v>
      </c>
      <c r="E26" s="29"/>
      <c r="F26" s="29"/>
      <c r="G26" s="30"/>
      <c r="H26" s="31">
        <v>0.0017764371263288032</v>
      </c>
      <c r="I26" s="29"/>
      <c r="J26" s="29"/>
      <c r="K26" s="30"/>
      <c r="V26" s="28"/>
      <c r="W26" s="15" t="s">
        <v>34</v>
      </c>
      <c r="X26" s="31">
        <v>0.05583144528515224</v>
      </c>
      <c r="Y26" s="29"/>
      <c r="Z26" s="29"/>
      <c r="AA26" s="30"/>
      <c r="AB26" s="31">
        <v>1.2246643551444067E-08</v>
      </c>
      <c r="AC26" s="29"/>
      <c r="AD26" s="29"/>
      <c r="AE26" s="30"/>
    </row>
    <row r="27" spans="2:31" ht="13.5" thickBot="1">
      <c r="B27" s="28"/>
      <c r="C27" s="15"/>
      <c r="D27" s="28"/>
      <c r="E27" s="29"/>
      <c r="F27" s="29"/>
      <c r="G27" s="30"/>
      <c r="H27" s="28"/>
      <c r="I27" s="29"/>
      <c r="J27" s="29"/>
      <c r="K27" s="30"/>
      <c r="V27" s="28"/>
      <c r="W27" s="15"/>
      <c r="X27" s="28"/>
      <c r="Y27" s="29"/>
      <c r="Z27" s="29"/>
      <c r="AA27" s="30"/>
      <c r="AB27" s="28"/>
      <c r="AC27" s="29"/>
      <c r="AD27" s="29"/>
      <c r="AE27" s="30"/>
    </row>
    <row r="28" spans="2:31" ht="13.5" thickBot="1">
      <c r="B28" s="28"/>
      <c r="C28" s="15" t="s">
        <v>27</v>
      </c>
      <c r="D28" s="32" t="s">
        <v>42</v>
      </c>
      <c r="E28" s="33" t="s">
        <v>43</v>
      </c>
      <c r="F28" s="33" t="s">
        <v>44</v>
      </c>
      <c r="G28" s="34"/>
      <c r="H28" s="32" t="s">
        <v>42</v>
      </c>
      <c r="I28" s="33" t="s">
        <v>43</v>
      </c>
      <c r="J28" s="33" t="s">
        <v>44</v>
      </c>
      <c r="K28" s="34"/>
      <c r="V28" s="28"/>
      <c r="W28" s="15" t="s">
        <v>27</v>
      </c>
      <c r="X28" s="32" t="s">
        <v>42</v>
      </c>
      <c r="Y28" s="33" t="s">
        <v>43</v>
      </c>
      <c r="Z28" s="33" t="s">
        <v>44</v>
      </c>
      <c r="AA28" s="34"/>
      <c r="AB28" s="32" t="s">
        <v>42</v>
      </c>
      <c r="AC28" s="33" t="s">
        <v>43</v>
      </c>
      <c r="AD28" s="33" t="s">
        <v>44</v>
      </c>
      <c r="AE28" s="34"/>
    </row>
    <row r="29" spans="2:31" ht="12.75">
      <c r="B29" s="28"/>
      <c r="C29" s="15" t="s">
        <v>28</v>
      </c>
      <c r="D29" s="35">
        <v>20931.953404633616</v>
      </c>
      <c r="E29" s="24">
        <v>10</v>
      </c>
      <c r="F29" s="36">
        <v>2093.1953404633614</v>
      </c>
      <c r="G29" s="23"/>
      <c r="H29" s="35">
        <v>13414.080704741384</v>
      </c>
      <c r="I29" s="24">
        <v>10</v>
      </c>
      <c r="J29" s="36">
        <v>1341.4080704741384</v>
      </c>
      <c r="K29" s="23"/>
      <c r="V29" s="28"/>
      <c r="W29" s="15" t="s">
        <v>28</v>
      </c>
      <c r="X29" s="35">
        <v>574.3389218750003</v>
      </c>
      <c r="Y29" s="24">
        <v>10</v>
      </c>
      <c r="Z29" s="36">
        <v>57.433892187500035</v>
      </c>
      <c r="AA29" s="23"/>
      <c r="AB29" s="35">
        <v>11.497170258620699</v>
      </c>
      <c r="AC29" s="24">
        <v>10</v>
      </c>
      <c r="AD29" s="36">
        <v>1.14971702586207</v>
      </c>
      <c r="AE29" s="23"/>
    </row>
    <row r="30" spans="2:31" ht="12.75">
      <c r="B30" s="28"/>
      <c r="C30" s="15" t="s">
        <v>29</v>
      </c>
      <c r="D30" s="35">
        <v>941.3683922413795</v>
      </c>
      <c r="E30" s="24">
        <v>21</v>
      </c>
      <c r="F30" s="36">
        <v>44.827066297208546</v>
      </c>
      <c r="G30" s="23"/>
      <c r="H30" s="35">
        <v>97.22898275862063</v>
      </c>
      <c r="I30" s="24">
        <v>21</v>
      </c>
      <c r="J30" s="36">
        <v>4.629951559934316</v>
      </c>
      <c r="K30" s="23"/>
      <c r="V30" s="28"/>
      <c r="W30" s="15" t="s">
        <v>29</v>
      </c>
      <c r="X30" s="35">
        <v>45.07162499999998</v>
      </c>
      <c r="Y30" s="24">
        <v>5</v>
      </c>
      <c r="Z30" s="36">
        <v>9.014324999999996</v>
      </c>
      <c r="AA30" s="23"/>
      <c r="AB30" s="35">
        <v>0.3200172413793098</v>
      </c>
      <c r="AC30" s="24">
        <v>5</v>
      </c>
      <c r="AD30" s="36">
        <v>0.06400344827586196</v>
      </c>
      <c r="AE30" s="23"/>
    </row>
    <row r="31" spans="2:31" ht="15">
      <c r="B31" s="28"/>
      <c r="C31" s="15" t="s">
        <v>35</v>
      </c>
      <c r="D31" s="35">
        <v>760.8737500000002</v>
      </c>
      <c r="E31" s="24">
        <v>17</v>
      </c>
      <c r="F31" s="36">
        <v>44.75727941176472</v>
      </c>
      <c r="G31" s="23"/>
      <c r="H31" s="35">
        <v>37.20500000000105</v>
      </c>
      <c r="I31" s="24">
        <v>17</v>
      </c>
      <c r="J31" s="36">
        <v>2.1885294117647676</v>
      </c>
      <c r="K31" s="23"/>
      <c r="V31" s="28"/>
      <c r="W31" s="15" t="s">
        <v>35</v>
      </c>
      <c r="X31" s="35">
        <v>0.06250000000000108</v>
      </c>
      <c r="Y31" s="24">
        <v>1</v>
      </c>
      <c r="Z31" s="36">
        <v>0.06250000000000108</v>
      </c>
      <c r="AA31" s="23"/>
      <c r="AB31" s="35">
        <v>2.13316777436523E-17</v>
      </c>
      <c r="AC31" s="24">
        <v>1</v>
      </c>
      <c r="AD31" s="36">
        <v>2.13316777436523E-17</v>
      </c>
      <c r="AE31" s="23"/>
    </row>
    <row r="32" spans="2:31" ht="15">
      <c r="B32" s="28"/>
      <c r="C32" s="15" t="s">
        <v>36</v>
      </c>
      <c r="D32" s="35">
        <v>180.49464224137932</v>
      </c>
      <c r="E32" s="24">
        <v>4</v>
      </c>
      <c r="F32" s="36">
        <v>45.12366056034483</v>
      </c>
      <c r="G32" s="23"/>
      <c r="H32" s="35">
        <v>60.02398275861958</v>
      </c>
      <c r="I32" s="24">
        <v>4</v>
      </c>
      <c r="J32" s="36">
        <v>15.005995689654895</v>
      </c>
      <c r="K32" s="23"/>
      <c r="V32" s="28"/>
      <c r="W32" s="15" t="s">
        <v>36</v>
      </c>
      <c r="X32" s="35">
        <v>45.00912499999998</v>
      </c>
      <c r="Y32" s="24">
        <v>4</v>
      </c>
      <c r="Z32" s="36">
        <v>11.252281249999996</v>
      </c>
      <c r="AA32" s="23"/>
      <c r="AB32" s="35">
        <v>0.3200172413793098</v>
      </c>
      <c r="AC32" s="24">
        <v>4</v>
      </c>
      <c r="AD32" s="36">
        <v>0.08000431034482745</v>
      </c>
      <c r="AE32" s="23"/>
    </row>
    <row r="33" spans="2:31" ht="13.5" thickBot="1">
      <c r="B33" s="37"/>
      <c r="C33" s="38" t="s">
        <v>30</v>
      </c>
      <c r="D33" s="39">
        <v>21873.321796874996</v>
      </c>
      <c r="E33" s="40">
        <v>31</v>
      </c>
      <c r="F33" s="41"/>
      <c r="G33" s="42"/>
      <c r="H33" s="39">
        <v>13511.309687500005</v>
      </c>
      <c r="I33" s="40">
        <v>31</v>
      </c>
      <c r="J33" s="41"/>
      <c r="K33" s="42"/>
      <c r="V33" s="37"/>
      <c r="W33" s="38" t="s">
        <v>30</v>
      </c>
      <c r="X33" s="39">
        <v>619.4105468750004</v>
      </c>
      <c r="Y33" s="40">
        <v>15</v>
      </c>
      <c r="Z33" s="41"/>
      <c r="AA33" s="42"/>
      <c r="AB33" s="39">
        <v>11.8171875</v>
      </c>
      <c r="AC33" s="40">
        <v>15</v>
      </c>
      <c r="AD33" s="41"/>
      <c r="AE33" s="42"/>
    </row>
    <row r="34" ht="13.5" thickTop="1"/>
    <row r="111" spans="2:24" ht="12.75">
      <c r="B111" t="s">
        <v>45</v>
      </c>
      <c r="C111" t="s">
        <v>46</v>
      </c>
      <c r="D111" t="s">
        <v>47</v>
      </c>
      <c r="V111" t="s">
        <v>45</v>
      </c>
      <c r="W111" t="s">
        <v>46</v>
      </c>
      <c r="X111" t="s">
        <v>47</v>
      </c>
    </row>
    <row r="112" spans="2:28" ht="12.75">
      <c r="B112" t="s">
        <v>48</v>
      </c>
      <c r="E112">
        <v>97.37241379310343</v>
      </c>
      <c r="F112">
        <v>74.23103448275862</v>
      </c>
      <c r="G112">
        <f>E112</f>
        <v>97.37241379310343</v>
      </c>
      <c r="H112">
        <f>F112</f>
        <v>74.23103448275862</v>
      </c>
      <c r="V112" t="s">
        <v>48</v>
      </c>
      <c r="Y112">
        <v>0.42426406871192834</v>
      </c>
      <c r="Z112">
        <v>0.5266726370217034</v>
      </c>
      <c r="AA112">
        <f>Y112</f>
        <v>0.42426406871192834</v>
      </c>
      <c r="AB112">
        <f>Z112</f>
        <v>0.5266726370217034</v>
      </c>
    </row>
    <row r="113" spans="2:28" ht="12.75">
      <c r="B113" t="s">
        <v>1</v>
      </c>
      <c r="C113">
        <f>AExper</f>
        <v>170</v>
      </c>
      <c r="D113">
        <f>(C113-170)/10</f>
        <v>0</v>
      </c>
      <c r="E113">
        <f>IF(UPPER($G$9)="X",23.5425,0)</f>
        <v>23.5425</v>
      </c>
      <c r="F113">
        <f>IF(UPPER($K$9)="X",19.295,0)</f>
        <v>19.295</v>
      </c>
      <c r="G113">
        <f aca="true" t="shared" si="0" ref="G113:G122">E113*D113</f>
        <v>0</v>
      </c>
      <c r="H113">
        <f aca="true" t="shared" si="1" ref="H113:H122">F113*D113</f>
        <v>0</v>
      </c>
      <c r="V113" t="s">
        <v>1</v>
      </c>
      <c r="W113">
        <f>AExper</f>
        <v>170</v>
      </c>
      <c r="X113">
        <f>(W113-170)/10</f>
        <v>0</v>
      </c>
      <c r="Y113">
        <f>IF(UPPER($AA$9)="X",-2.46426713243512,0)</f>
        <v>-2.46426713243512</v>
      </c>
      <c r="Z113">
        <f>IF(UPPER($AE$9)="X",0.360624458405139,0)</f>
        <v>0.360624458405139</v>
      </c>
      <c r="AA113">
        <f aca="true" t="shared" si="2" ref="AA113:AA122">Y113*X113</f>
        <v>0</v>
      </c>
      <c r="AB113">
        <f aca="true" t="shared" si="3" ref="AB113:AB122">Z113*X113</f>
        <v>0</v>
      </c>
    </row>
    <row r="114" spans="2:28" ht="12.75">
      <c r="B114" t="s">
        <v>3</v>
      </c>
      <c r="C114">
        <f>BExper</f>
        <v>3</v>
      </c>
      <c r="D114">
        <f>(C114-3)/1</f>
        <v>0</v>
      </c>
      <c r="E114">
        <f>IF(UPPER($G$10)="X",15.9175,0)</f>
        <v>15.9175</v>
      </c>
      <c r="F114">
        <f>IF(UPPER($K$10)="X",14.35,0)</f>
        <v>14.35</v>
      </c>
      <c r="G114">
        <f t="shared" si="0"/>
        <v>0</v>
      </c>
      <c r="H114">
        <f t="shared" si="1"/>
        <v>0</v>
      </c>
      <c r="V114" t="s">
        <v>3</v>
      </c>
      <c r="W114">
        <f>BExper</f>
        <v>3</v>
      </c>
      <c r="X114">
        <f>(W114-3)/1</f>
        <v>0</v>
      </c>
      <c r="Y114">
        <f>IF(UPPER($AA$10)="X",-2.49962247149445,0)</f>
        <v>-2.49962247149445</v>
      </c>
      <c r="Z114">
        <f>IF(UPPER($AE$10)="X",0.777817459305202,0)</f>
        <v>0.777817459305202</v>
      </c>
      <c r="AA114">
        <f t="shared" si="2"/>
        <v>0</v>
      </c>
      <c r="AB114">
        <f t="shared" si="3"/>
        <v>0</v>
      </c>
    </row>
    <row r="115" spans="2:28" ht="12.75">
      <c r="B115" t="s">
        <v>5</v>
      </c>
      <c r="C115">
        <f>CExper</f>
        <v>45</v>
      </c>
      <c r="D115">
        <f>(C115-45)/45</f>
        <v>0</v>
      </c>
      <c r="E115">
        <f>IF(UPPER($G$11)="X",5.8575,0)</f>
        <v>5.8575</v>
      </c>
      <c r="F115">
        <f>IF(UPPER($K$11)="X",-5.5,0)</f>
        <v>-5.5</v>
      </c>
      <c r="G115">
        <f t="shared" si="0"/>
        <v>0</v>
      </c>
      <c r="H115">
        <f t="shared" si="1"/>
        <v>0</v>
      </c>
      <c r="V115" t="s">
        <v>5</v>
      </c>
      <c r="W115">
        <f>CExper</f>
        <v>45</v>
      </c>
      <c r="X115">
        <f>(W115-45)/45</f>
        <v>0</v>
      </c>
      <c r="Y115">
        <f>IF(UPPER($AA$11)="X",2.39355645431646,0)</f>
        <v>2.39355645431646</v>
      </c>
      <c r="Z115">
        <f>IF(UPPER($AE$11)="X",0.14142135623731,0)</f>
        <v>0</v>
      </c>
      <c r="AA115">
        <f t="shared" si="2"/>
        <v>0</v>
      </c>
      <c r="AB115">
        <f t="shared" si="3"/>
        <v>0</v>
      </c>
    </row>
    <row r="116" spans="2:28" ht="12.75">
      <c r="B116" t="s">
        <v>8</v>
      </c>
      <c r="D116">
        <f>$D$113*$D$114</f>
        <v>0</v>
      </c>
      <c r="E116">
        <f>IF(UPPER($G$12)="X",-5.553125,0)</f>
        <v>-5.553125</v>
      </c>
      <c r="F116">
        <f>IF(UPPER($K$12)="X",-2.53125,0)</f>
        <v>-2.53125</v>
      </c>
      <c r="G116">
        <f t="shared" si="0"/>
        <v>0</v>
      </c>
      <c r="H116">
        <f t="shared" si="1"/>
        <v>0</v>
      </c>
      <c r="V116" t="s">
        <v>8</v>
      </c>
      <c r="X116">
        <f>$X$113*$X$114</f>
        <v>0</v>
      </c>
      <c r="Y116">
        <f>IF(UPPER($AA$12)="X",3.34549895848885,0)</f>
        <v>3.34549895848885</v>
      </c>
      <c r="Z116">
        <f>IF(UPPER($AE$12)="X",0.309359216769114,0)</f>
        <v>0.309359216769114</v>
      </c>
      <c r="AA116">
        <f t="shared" si="2"/>
        <v>0</v>
      </c>
      <c r="AB116">
        <f t="shared" si="3"/>
        <v>0</v>
      </c>
    </row>
    <row r="117" spans="2:28" ht="12.75">
      <c r="B117" t="s">
        <v>9</v>
      </c>
      <c r="D117">
        <f>$D$113*$D$115</f>
        <v>0</v>
      </c>
      <c r="E117">
        <f>IF(UPPER($G$13)="X",3.803125,0)</f>
        <v>3.803125</v>
      </c>
      <c r="F117">
        <f>IF(UPPER($K$13)="X",-0.65625,0)</f>
        <v>0</v>
      </c>
      <c r="G117">
        <f t="shared" si="0"/>
        <v>0</v>
      </c>
      <c r="H117">
        <f t="shared" si="1"/>
        <v>0</v>
      </c>
      <c r="V117" t="s">
        <v>9</v>
      </c>
      <c r="X117">
        <f>$X$113*$X$115</f>
        <v>0</v>
      </c>
      <c r="Y117">
        <f>IF(UPPER($AA$13)="X",-3.16872226319222,0)</f>
        <v>-3.16872226319222</v>
      </c>
      <c r="Z117">
        <f>IF(UPPER($AE$13)="X",0.132582521472478,0)</f>
        <v>0</v>
      </c>
      <c r="AA117">
        <f t="shared" si="2"/>
        <v>0</v>
      </c>
      <c r="AB117">
        <f t="shared" si="3"/>
        <v>0</v>
      </c>
    </row>
    <row r="118" spans="2:28" ht="12.75">
      <c r="B118" t="s">
        <v>10</v>
      </c>
      <c r="D118">
        <f>$D$114*$D$115</f>
        <v>0</v>
      </c>
      <c r="E118">
        <f>IF(UPPER($G$14)="X",3.053125,0)</f>
        <v>3.053125</v>
      </c>
      <c r="F118">
        <f>IF(UPPER($K$14)="X",1.28125,0)</f>
        <v>1.28125</v>
      </c>
      <c r="G118">
        <f t="shared" si="0"/>
        <v>0</v>
      </c>
      <c r="H118">
        <f t="shared" si="1"/>
        <v>0</v>
      </c>
      <c r="V118" t="s">
        <v>10</v>
      </c>
      <c r="X118">
        <f>$X$114*$X$115</f>
        <v>0</v>
      </c>
      <c r="Y118">
        <f>IF(UPPER($AA$14)="X",-3.87582904437876,0)</f>
        <v>-3.87582904437876</v>
      </c>
      <c r="Z118">
        <f>IF(UPPER($AE$14)="X",0.0441941738241592,0)</f>
        <v>0</v>
      </c>
      <c r="AA118">
        <f t="shared" si="2"/>
        <v>0</v>
      </c>
      <c r="AB118">
        <f t="shared" si="3"/>
        <v>0</v>
      </c>
    </row>
    <row r="119" spans="2:28" ht="12.75">
      <c r="B119" t="s">
        <v>11</v>
      </c>
      <c r="D119">
        <f>$D$113*$D$114*$D$115</f>
        <v>0</v>
      </c>
      <c r="E119">
        <f>IF(UPPER($G$15)="X",-2.740625,0)</f>
        <v>0</v>
      </c>
      <c r="F119">
        <f>IF(UPPER($K$15)="X",0.65625,0)</f>
        <v>0</v>
      </c>
      <c r="G119">
        <f t="shared" si="0"/>
        <v>0</v>
      </c>
      <c r="H119">
        <f t="shared" si="1"/>
        <v>0</v>
      </c>
      <c r="V119" t="s">
        <v>11</v>
      </c>
      <c r="X119">
        <f>$X$113*$X$114*$X$115</f>
        <v>0</v>
      </c>
      <c r="Y119">
        <f>IF(UPPER($AA$15)="X",2.90355722024726,0)</f>
        <v>2.90355722024726</v>
      </c>
      <c r="Z119">
        <f>IF(UPPER($AE$15)="X",0.0441941738241592,0)</f>
        <v>0</v>
      </c>
      <c r="AA119">
        <f t="shared" si="2"/>
        <v>0</v>
      </c>
      <c r="AB119">
        <f t="shared" si="3"/>
        <v>0</v>
      </c>
    </row>
    <row r="120" spans="2:28" ht="12.75">
      <c r="B120" t="s">
        <v>12</v>
      </c>
      <c r="D120">
        <f>$D$113*$D$113</f>
        <v>0</v>
      </c>
      <c r="E120">
        <f>IF(UPPER($G$16)="X",-0.621120689655166,0)</f>
        <v>0</v>
      </c>
      <c r="F120">
        <f>IF(UPPER($K$16)="X",-0.821551724137948,0)</f>
        <v>0</v>
      </c>
      <c r="G120">
        <f t="shared" si="0"/>
        <v>0</v>
      </c>
      <c r="H120">
        <f t="shared" si="1"/>
        <v>0</v>
      </c>
      <c r="V120" t="s">
        <v>12</v>
      </c>
      <c r="X120">
        <f>$X$113*$X$113</f>
        <v>0</v>
      </c>
      <c r="Y120">
        <f>IF(UPPER($AA$16)="X",1.2197591975468,0)</f>
        <v>0</v>
      </c>
      <c r="Z120">
        <f>IF(UPPER($AE$16)="X",-0.118257513405336,0)</f>
        <v>0</v>
      </c>
      <c r="AA120">
        <f t="shared" si="2"/>
        <v>0</v>
      </c>
      <c r="AB120">
        <f t="shared" si="3"/>
        <v>0</v>
      </c>
    </row>
    <row r="121" spans="2:28" ht="12.75">
      <c r="B121" t="s">
        <v>13</v>
      </c>
      <c r="D121">
        <f>$D$114*$D$114</f>
        <v>0</v>
      </c>
      <c r="E121">
        <f>IF(UPPER($G$17)="X",-16.7461206896552,0)</f>
        <v>-16.7461206896552</v>
      </c>
      <c r="F121">
        <f>IF(UPPER($K$17)="X",-12.8465517241379,0)</f>
        <v>-12.8465517241379</v>
      </c>
      <c r="G121">
        <f t="shared" si="0"/>
        <v>0</v>
      </c>
      <c r="H121">
        <f t="shared" si="1"/>
        <v>0</v>
      </c>
      <c r="V121" t="s">
        <v>13</v>
      </c>
      <c r="X121">
        <f>$X$114*$X$114</f>
        <v>0</v>
      </c>
      <c r="Y121">
        <f>IF(UPPER($AA$17)="X",1.7500892834367,0)</f>
        <v>0</v>
      </c>
      <c r="Z121">
        <f>IF(UPPER($AE$17)="X",0.977757997433812,0)</f>
        <v>0.977757997433812</v>
      </c>
      <c r="AA121">
        <f t="shared" si="2"/>
        <v>0</v>
      </c>
      <c r="AB121">
        <f t="shared" si="3"/>
        <v>0</v>
      </c>
    </row>
    <row r="122" spans="2:28" ht="12.75">
      <c r="B122" t="s">
        <v>14</v>
      </c>
      <c r="D122">
        <f>$D$115*$D$115</f>
        <v>0</v>
      </c>
      <c r="E122">
        <f>IF(UPPER($G$18)="X",-5.62112068965517,0)</f>
        <v>-5.62112068965517</v>
      </c>
      <c r="F122">
        <f>IF(UPPER($K$18)="X",2.90344827586208,0)</f>
        <v>2.90344827586208</v>
      </c>
      <c r="G122">
        <f t="shared" si="0"/>
        <v>0</v>
      </c>
      <c r="H122">
        <f t="shared" si="1"/>
        <v>0</v>
      </c>
      <c r="V122" t="s">
        <v>14</v>
      </c>
      <c r="X122">
        <f>$X$115*$X$115</f>
        <v>0</v>
      </c>
      <c r="Y122">
        <f>IF(UPPER($AA$18)="X",0.866205806953522,0)</f>
        <v>0</v>
      </c>
      <c r="Z122">
        <f>IF(UPPER($AE$18)="X",-0.0829021743460086,0)</f>
        <v>0</v>
      </c>
      <c r="AA122">
        <f t="shared" si="2"/>
        <v>0</v>
      </c>
      <c r="AB122">
        <f t="shared" si="3"/>
        <v>0</v>
      </c>
    </row>
    <row r="123" spans="7:28" ht="12.75">
      <c r="G123">
        <f>SUM(G112:G122)</f>
        <v>97.37241379310343</v>
      </c>
      <c r="H123">
        <f>SUM(H112:H122)</f>
        <v>74.23103448275862</v>
      </c>
      <c r="AA123">
        <f>SUM(AA112:AA122)</f>
        <v>0.42426406871192834</v>
      </c>
      <c r="AB123">
        <f>SUM(AB112:AB122)</f>
        <v>0.5266726370217034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140625" defaultRowHeight="12.75"/>
  <sheetData>
    <row r="1" spans="2:20" ht="12.75">
      <c r="B1">
        <v>0</v>
      </c>
      <c r="C1">
        <v>5</v>
      </c>
      <c r="D1">
        <v>10</v>
      </c>
      <c r="E1">
        <v>15</v>
      </c>
      <c r="F1">
        <v>20</v>
      </c>
      <c r="G1">
        <v>25</v>
      </c>
      <c r="H1">
        <v>30</v>
      </c>
      <c r="I1">
        <v>35</v>
      </c>
      <c r="J1">
        <v>40</v>
      </c>
      <c r="K1">
        <v>45</v>
      </c>
      <c r="L1">
        <v>50</v>
      </c>
      <c r="M1">
        <v>55</v>
      </c>
      <c r="N1">
        <v>60</v>
      </c>
      <c r="O1">
        <v>65</v>
      </c>
      <c r="P1">
        <v>70</v>
      </c>
      <c r="Q1">
        <v>75</v>
      </c>
      <c r="R1">
        <v>80</v>
      </c>
      <c r="S1">
        <v>85</v>
      </c>
      <c r="T1">
        <v>90</v>
      </c>
    </row>
    <row r="2" spans="1:20" ht="12.75">
      <c r="A2">
        <v>2</v>
      </c>
      <c r="B2">
        <v>55.746875</v>
      </c>
      <c r="C2">
        <v>57.2796913580247</v>
      </c>
      <c r="D2">
        <v>58.668834876543215</v>
      </c>
      <c r="E2">
        <v>59.91430555555555</v>
      </c>
      <c r="F2">
        <v>61.016103395061734</v>
      </c>
      <c r="G2">
        <v>61.97422839506173</v>
      </c>
      <c r="H2">
        <v>62.78868055555555</v>
      </c>
      <c r="I2">
        <v>63.459459876543214</v>
      </c>
      <c r="J2">
        <v>63.986566358024675</v>
      </c>
      <c r="K2">
        <v>64.37</v>
      </c>
      <c r="L2">
        <v>64.60976080246914</v>
      </c>
      <c r="M2">
        <v>64.7058487654321</v>
      </c>
      <c r="N2">
        <v>64.65826388888888</v>
      </c>
      <c r="O2">
        <v>64.46700617283949</v>
      </c>
      <c r="P2">
        <v>64.13207561728395</v>
      </c>
      <c r="Q2">
        <v>63.653472222222234</v>
      </c>
      <c r="R2">
        <v>63.031195987654336</v>
      </c>
      <c r="S2">
        <v>62.265246913580256</v>
      </c>
      <c r="T2">
        <v>61.355625</v>
      </c>
    </row>
    <row r="3" spans="1:20" ht="12.75">
      <c r="A3">
        <v>2.111111111111111</v>
      </c>
      <c r="B3">
        <v>60.732345679012354</v>
      </c>
      <c r="C3">
        <v>62.30285493827162</v>
      </c>
      <c r="D3">
        <v>63.7296913580247</v>
      </c>
      <c r="E3">
        <v>65.01285493827162</v>
      </c>
      <c r="F3">
        <v>66.15234567901237</v>
      </c>
      <c r="G3">
        <v>67.1481635802469</v>
      </c>
      <c r="H3">
        <v>68.00030864197531</v>
      </c>
      <c r="I3">
        <v>68.70878086419754</v>
      </c>
      <c r="J3">
        <v>69.27358024691358</v>
      </c>
      <c r="K3">
        <v>69.69470679012346</v>
      </c>
      <c r="L3">
        <v>69.97216049382718</v>
      </c>
      <c r="M3">
        <v>70.1059413580247</v>
      </c>
      <c r="N3">
        <v>70.09604938271606</v>
      </c>
      <c r="O3">
        <v>69.94248456790125</v>
      </c>
      <c r="P3">
        <v>69.64524691358025</v>
      </c>
      <c r="Q3">
        <v>69.20433641975309</v>
      </c>
      <c r="R3">
        <v>68.61975308641976</v>
      </c>
      <c r="S3">
        <v>67.89149691358026</v>
      </c>
      <c r="T3">
        <v>67.01956790123458</v>
      </c>
    </row>
    <row r="4" spans="1:20" ht="12.75">
      <c r="A4">
        <v>2.2222222222222223</v>
      </c>
      <c r="B4">
        <v>65.29945216049384</v>
      </c>
      <c r="C4">
        <v>66.90765432098767</v>
      </c>
      <c r="D4">
        <v>68.37218364197531</v>
      </c>
      <c r="E4">
        <v>69.6930401234568</v>
      </c>
      <c r="F4">
        <v>70.87022376543212</v>
      </c>
      <c r="G4">
        <v>71.90373456790122</v>
      </c>
      <c r="H4">
        <v>72.79357253086421</v>
      </c>
      <c r="I4">
        <v>73.539737654321</v>
      </c>
      <c r="J4">
        <v>74.14222993827161</v>
      </c>
      <c r="K4">
        <v>74.60104938271606</v>
      </c>
      <c r="L4">
        <v>74.91619598765433</v>
      </c>
      <c r="M4">
        <v>75.08766975308642</v>
      </c>
      <c r="N4">
        <v>75.11547067901235</v>
      </c>
      <c r="O4">
        <v>74.99959876543211</v>
      </c>
      <c r="P4">
        <v>74.7400540123457</v>
      </c>
      <c r="Q4">
        <v>74.3368364197531</v>
      </c>
      <c r="R4">
        <v>73.78994598765433</v>
      </c>
      <c r="S4">
        <v>73.09938271604939</v>
      </c>
      <c r="T4">
        <v>72.26514660493828</v>
      </c>
    </row>
    <row r="5" spans="1:20" ht="12.75">
      <c r="A5">
        <v>2.3333333333333335</v>
      </c>
      <c r="B5">
        <v>69.44819444444445</v>
      </c>
      <c r="C5">
        <v>71.09408950617286</v>
      </c>
      <c r="D5">
        <v>72.59631172839507</v>
      </c>
      <c r="E5">
        <v>73.95486111111111</v>
      </c>
      <c r="F5">
        <v>75.16973765432101</v>
      </c>
      <c r="G5">
        <v>76.24094135802468</v>
      </c>
      <c r="H5">
        <v>77.16847222222223</v>
      </c>
      <c r="I5">
        <v>77.95233024691359</v>
      </c>
      <c r="J5">
        <v>78.59251543209878</v>
      </c>
      <c r="K5">
        <v>79.08902777777779</v>
      </c>
      <c r="L5">
        <v>79.44186728395063</v>
      </c>
      <c r="M5">
        <v>79.65103395061729</v>
      </c>
      <c r="N5">
        <v>79.71652777777778</v>
      </c>
      <c r="O5">
        <v>79.63834876543211</v>
      </c>
      <c r="P5">
        <v>79.41649691358026</v>
      </c>
      <c r="Q5">
        <v>79.05097222222224</v>
      </c>
      <c r="R5">
        <v>78.54177469135804</v>
      </c>
      <c r="S5">
        <v>77.88890432098766</v>
      </c>
      <c r="T5">
        <v>77.09236111111113</v>
      </c>
    </row>
    <row r="6" spans="1:20" ht="12.75">
      <c r="A6">
        <v>2.4444444444444446</v>
      </c>
      <c r="B6">
        <v>73.17857253086422</v>
      </c>
      <c r="C6">
        <v>74.86216049382719</v>
      </c>
      <c r="D6">
        <v>76.40207561728396</v>
      </c>
      <c r="E6">
        <v>77.79831790123458</v>
      </c>
      <c r="F6">
        <v>79.05088734567904</v>
      </c>
      <c r="G6">
        <v>80.15978395061728</v>
      </c>
      <c r="H6">
        <v>81.1250077160494</v>
      </c>
      <c r="I6">
        <v>81.94655864197533</v>
      </c>
      <c r="J6">
        <v>82.62443672839507</v>
      </c>
      <c r="K6">
        <v>83.15864197530865</v>
      </c>
      <c r="L6">
        <v>83.54917438271607</v>
      </c>
      <c r="M6">
        <v>83.79603395061729</v>
      </c>
      <c r="N6">
        <v>83.89922067901236</v>
      </c>
      <c r="O6">
        <v>83.85873456790125</v>
      </c>
      <c r="P6">
        <v>83.67457561728396</v>
      </c>
      <c r="Q6">
        <v>83.34674382716051</v>
      </c>
      <c r="R6">
        <v>82.87523919753089</v>
      </c>
      <c r="S6">
        <v>82.26006172839507</v>
      </c>
      <c r="T6">
        <v>81.5012114197531</v>
      </c>
    </row>
    <row r="7" spans="1:20" ht="12.75">
      <c r="A7">
        <v>2.5555555555555554</v>
      </c>
      <c r="B7">
        <v>76.49058641975309</v>
      </c>
      <c r="C7">
        <v>78.21186728395061</v>
      </c>
      <c r="D7">
        <v>79.78947530864195</v>
      </c>
      <c r="E7">
        <v>81.22341049382715</v>
      </c>
      <c r="F7">
        <v>82.51367283950617</v>
      </c>
      <c r="G7">
        <v>83.66026234567899</v>
      </c>
      <c r="H7">
        <v>84.66317901234567</v>
      </c>
      <c r="I7">
        <v>85.52242283950616</v>
      </c>
      <c r="J7">
        <v>86.23799382716048</v>
      </c>
      <c r="K7">
        <v>86.80989197530863</v>
      </c>
      <c r="L7">
        <v>87.23811728395061</v>
      </c>
      <c r="M7">
        <v>87.5226697530864</v>
      </c>
      <c r="N7">
        <v>87.66354938271604</v>
      </c>
      <c r="O7">
        <v>87.6607561728395</v>
      </c>
      <c r="P7">
        <v>87.51429012345679</v>
      </c>
      <c r="Q7">
        <v>87.2241512345679</v>
      </c>
      <c r="R7">
        <v>86.79033950617284</v>
      </c>
      <c r="S7">
        <v>86.2128549382716</v>
      </c>
      <c r="T7">
        <v>85.49169753086419</v>
      </c>
    </row>
    <row r="8" spans="1:20" ht="12.75">
      <c r="A8">
        <v>2.6666666666666665</v>
      </c>
      <c r="B8">
        <v>79.38423611111111</v>
      </c>
      <c r="C8">
        <v>81.14320987654321</v>
      </c>
      <c r="D8">
        <v>82.75851080246913</v>
      </c>
      <c r="E8">
        <v>84.23013888888889</v>
      </c>
      <c r="F8">
        <v>85.55809413580248</v>
      </c>
      <c r="G8">
        <v>86.74237654320986</v>
      </c>
      <c r="H8">
        <v>87.7829861111111</v>
      </c>
      <c r="I8">
        <v>88.67992283950618</v>
      </c>
      <c r="J8">
        <v>89.43318672839506</v>
      </c>
      <c r="K8">
        <v>90.04277777777777</v>
      </c>
      <c r="L8">
        <v>90.50869598765432</v>
      </c>
      <c r="M8">
        <v>90.83094135802467</v>
      </c>
      <c r="N8">
        <v>91.00951388888889</v>
      </c>
      <c r="O8">
        <v>91.04441358024691</v>
      </c>
      <c r="P8">
        <v>90.93564043209877</v>
      </c>
      <c r="Q8">
        <v>90.68319444444444</v>
      </c>
      <c r="R8">
        <v>90.28707561728395</v>
      </c>
      <c r="S8">
        <v>89.74728395061729</v>
      </c>
      <c r="T8">
        <v>89.06381944444445</v>
      </c>
    </row>
    <row r="9" spans="1:20" ht="12.75">
      <c r="A9">
        <v>2.7777777777777777</v>
      </c>
      <c r="B9">
        <v>81.85952160493828</v>
      </c>
      <c r="C9">
        <v>83.65618827160495</v>
      </c>
      <c r="D9">
        <v>85.30918209876543</v>
      </c>
      <c r="E9">
        <v>86.81850308641975</v>
      </c>
      <c r="F9">
        <v>88.18415123456792</v>
      </c>
      <c r="G9">
        <v>89.40612654320987</v>
      </c>
      <c r="H9">
        <v>90.48442901234569</v>
      </c>
      <c r="I9">
        <v>91.41905864197531</v>
      </c>
      <c r="J9">
        <v>92.21001543209877</v>
      </c>
      <c r="K9">
        <v>92.85729938271605</v>
      </c>
      <c r="L9">
        <v>93.36091049382716</v>
      </c>
      <c r="M9">
        <v>93.7208487654321</v>
      </c>
      <c r="N9">
        <v>93.93711419753086</v>
      </c>
      <c r="O9">
        <v>94.00970679012346</v>
      </c>
      <c r="P9">
        <v>93.93862654320988</v>
      </c>
      <c r="Q9">
        <v>93.72387345679013</v>
      </c>
      <c r="R9">
        <v>93.3654475308642</v>
      </c>
      <c r="S9">
        <v>92.86334876543211</v>
      </c>
      <c r="T9">
        <v>92.21757716049383</v>
      </c>
    </row>
    <row r="10" spans="1:20" ht="12.75">
      <c r="A10">
        <v>2.888888888888889</v>
      </c>
      <c r="B10">
        <v>83.91644290123456</v>
      </c>
      <c r="C10">
        <v>85.7508024691358</v>
      </c>
      <c r="D10">
        <v>87.44148919753086</v>
      </c>
      <c r="E10">
        <v>88.98850308641975</v>
      </c>
      <c r="F10">
        <v>90.39184413580247</v>
      </c>
      <c r="G10">
        <v>91.651512345679</v>
      </c>
      <c r="H10">
        <v>92.76750771604938</v>
      </c>
      <c r="I10">
        <v>93.73983024691358</v>
      </c>
      <c r="J10">
        <v>94.5684799382716</v>
      </c>
      <c r="K10">
        <v>95.25345679012345</v>
      </c>
      <c r="L10">
        <v>95.79476080246914</v>
      </c>
      <c r="M10">
        <v>96.19239197530862</v>
      </c>
      <c r="N10">
        <v>96.44635030864197</v>
      </c>
      <c r="O10">
        <v>96.55663580246913</v>
      </c>
      <c r="P10">
        <v>96.52324845679013</v>
      </c>
      <c r="Q10">
        <v>96.34618827160493</v>
      </c>
      <c r="R10">
        <v>96.02545524691358</v>
      </c>
      <c r="S10">
        <v>95.56104938271605</v>
      </c>
      <c r="T10">
        <v>94.95297067901235</v>
      </c>
    </row>
    <row r="11" spans="1:20" ht="12.75">
      <c r="A11">
        <v>3</v>
      </c>
      <c r="B11">
        <v>85.555</v>
      </c>
      <c r="C11">
        <v>87.42705246913582</v>
      </c>
      <c r="D11">
        <v>89.15543209876543</v>
      </c>
      <c r="E11">
        <v>90.7401388888889</v>
      </c>
      <c r="F11">
        <v>92.18117283950619</v>
      </c>
      <c r="G11">
        <v>93.47853395061728</v>
      </c>
      <c r="H11">
        <v>94.63222222222223</v>
      </c>
      <c r="I11">
        <v>95.642237654321</v>
      </c>
      <c r="J11">
        <v>96.50858024691358</v>
      </c>
      <c r="K11">
        <v>97.23125</v>
      </c>
      <c r="L11">
        <v>97.81024691358026</v>
      </c>
      <c r="M11">
        <v>98.24557098765432</v>
      </c>
      <c r="N11">
        <v>98.53722222222223</v>
      </c>
      <c r="O11">
        <v>98.68520061728395</v>
      </c>
      <c r="P11">
        <v>98.68950617283951</v>
      </c>
      <c r="Q11">
        <v>98.5501388888889</v>
      </c>
      <c r="R11">
        <v>98.26709876543211</v>
      </c>
      <c r="S11">
        <v>97.84038580246914</v>
      </c>
      <c r="T11">
        <v>97.27</v>
      </c>
    </row>
    <row r="12" spans="1:20" ht="12.75">
      <c r="A12">
        <v>3.111111111111111</v>
      </c>
      <c r="B12">
        <v>86.77519290123458</v>
      </c>
      <c r="C12">
        <v>88.68493827160495</v>
      </c>
      <c r="D12">
        <v>90.45101080246913</v>
      </c>
      <c r="E12">
        <v>92.07341049382715</v>
      </c>
      <c r="F12">
        <v>93.55213734567903</v>
      </c>
      <c r="G12">
        <v>94.88719135802468</v>
      </c>
      <c r="H12">
        <v>96.0785725308642</v>
      </c>
      <c r="I12">
        <v>97.12628086419753</v>
      </c>
      <c r="J12">
        <v>98.03031635802469</v>
      </c>
      <c r="K12">
        <v>98.79067901234568</v>
      </c>
      <c r="L12">
        <v>99.4073688271605</v>
      </c>
      <c r="M12">
        <v>99.88038580246914</v>
      </c>
      <c r="N12">
        <v>100.20972993827161</v>
      </c>
      <c r="O12">
        <v>100.3954012345679</v>
      </c>
      <c r="P12">
        <v>100.43739969135802</v>
      </c>
      <c r="Q12">
        <v>100.33572530864198</v>
      </c>
      <c r="R12">
        <v>100.09037808641976</v>
      </c>
      <c r="S12">
        <v>99.70135802469136</v>
      </c>
      <c r="T12">
        <v>99.16866512345679</v>
      </c>
    </row>
    <row r="13" spans="1:20" ht="12.75">
      <c r="A13">
        <v>3.2222222222222223</v>
      </c>
      <c r="B13">
        <v>87.57702160493828</v>
      </c>
      <c r="C13">
        <v>89.52445987654323</v>
      </c>
      <c r="D13">
        <v>91.32822530864198</v>
      </c>
      <c r="E13">
        <v>92.98831790123458</v>
      </c>
      <c r="F13">
        <v>94.504737654321</v>
      </c>
      <c r="G13">
        <v>95.87748456790123</v>
      </c>
      <c r="H13">
        <v>97.10655864197531</v>
      </c>
      <c r="I13">
        <v>98.19195987654322</v>
      </c>
      <c r="J13">
        <v>99.13368827160494</v>
      </c>
      <c r="K13">
        <v>99.9317438271605</v>
      </c>
      <c r="L13">
        <v>100.5861265432099</v>
      </c>
      <c r="M13">
        <v>101.09683641975309</v>
      </c>
      <c r="N13">
        <v>101.46387345679014</v>
      </c>
      <c r="O13">
        <v>101.687237654321</v>
      </c>
      <c r="P13">
        <v>101.7669290123457</v>
      </c>
      <c r="Q13">
        <v>101.70294753086421</v>
      </c>
      <c r="R13">
        <v>101.49529320987656</v>
      </c>
      <c r="S13">
        <v>101.14396604938273</v>
      </c>
      <c r="T13">
        <v>100.64896604938274</v>
      </c>
    </row>
    <row r="14" spans="1:20" ht="12.75">
      <c r="A14">
        <v>3.333333333333333</v>
      </c>
      <c r="B14">
        <v>87.96048611111111</v>
      </c>
      <c r="C14">
        <v>89.94561728395063</v>
      </c>
      <c r="D14">
        <v>91.78707561728395</v>
      </c>
      <c r="E14">
        <v>93.4848611111111</v>
      </c>
      <c r="F14">
        <v>95.0389737654321</v>
      </c>
      <c r="G14">
        <v>96.4494135802469</v>
      </c>
      <c r="H14">
        <v>97.71618055555555</v>
      </c>
      <c r="I14">
        <v>98.83927469135801</v>
      </c>
      <c r="J14">
        <v>99.81869598765431</v>
      </c>
      <c r="K14">
        <v>100.65444444444444</v>
      </c>
      <c r="L14">
        <v>101.3465200617284</v>
      </c>
      <c r="M14">
        <v>101.89492283950617</v>
      </c>
      <c r="N14">
        <v>102.29965277777777</v>
      </c>
      <c r="O14">
        <v>102.5607098765432</v>
      </c>
      <c r="P14">
        <v>102.67809413580247</v>
      </c>
      <c r="Q14">
        <v>102.65180555555555</v>
      </c>
      <c r="R14">
        <v>102.48184413580246</v>
      </c>
      <c r="S14">
        <v>102.1682098765432</v>
      </c>
      <c r="T14">
        <v>101.71090277777778</v>
      </c>
    </row>
    <row r="15" spans="1:20" ht="12.75">
      <c r="A15">
        <v>3.444444444444444</v>
      </c>
      <c r="B15">
        <v>87.9255864197531</v>
      </c>
      <c r="C15">
        <v>89.94841049382718</v>
      </c>
      <c r="D15">
        <v>91.82756172839507</v>
      </c>
      <c r="E15">
        <v>93.5630401234568</v>
      </c>
      <c r="F15">
        <v>95.15484567901237</v>
      </c>
      <c r="G15">
        <v>96.60297839506173</v>
      </c>
      <c r="H15">
        <v>97.90743827160495</v>
      </c>
      <c r="I15">
        <v>99.06822530864198</v>
      </c>
      <c r="J15">
        <v>100.08533950617284</v>
      </c>
      <c r="K15">
        <v>100.95878086419754</v>
      </c>
      <c r="L15">
        <v>101.68854938271606</v>
      </c>
      <c r="M15">
        <v>102.27464506172839</v>
      </c>
      <c r="N15">
        <v>102.71706790123457</v>
      </c>
      <c r="O15">
        <v>103.01581790123457</v>
      </c>
      <c r="P15">
        <v>103.1708950617284</v>
      </c>
      <c r="Q15">
        <v>103.18229938271605</v>
      </c>
      <c r="R15">
        <v>103.05003086419754</v>
      </c>
      <c r="S15">
        <v>102.77408950617284</v>
      </c>
      <c r="T15">
        <v>102.35447530864198</v>
      </c>
    </row>
    <row r="16" spans="1:20" ht="12.75">
      <c r="A16">
        <v>3.5555555555555554</v>
      </c>
      <c r="B16">
        <v>87.4723225308642</v>
      </c>
      <c r="C16">
        <v>89.53283950617285</v>
      </c>
      <c r="D16">
        <v>91.44968364197531</v>
      </c>
      <c r="E16">
        <v>93.22285493827161</v>
      </c>
      <c r="F16">
        <v>94.85235339506174</v>
      </c>
      <c r="G16">
        <v>96.33817901234568</v>
      </c>
      <c r="H16">
        <v>97.68033179012346</v>
      </c>
      <c r="I16">
        <v>98.87881172839506</v>
      </c>
      <c r="J16">
        <v>99.9336188271605</v>
      </c>
      <c r="K16">
        <v>100.84475308641976</v>
      </c>
      <c r="L16">
        <v>101.61221450617285</v>
      </c>
      <c r="M16">
        <v>102.23600308641976</v>
      </c>
      <c r="N16">
        <v>102.7161188271605</v>
      </c>
      <c r="O16">
        <v>103.05256172839506</v>
      </c>
      <c r="P16">
        <v>103.24533179012347</v>
      </c>
      <c r="Q16">
        <v>103.29442901234569</v>
      </c>
      <c r="R16">
        <v>103.19985339506174</v>
      </c>
      <c r="S16">
        <v>102.96160493827162</v>
      </c>
      <c r="T16">
        <v>102.57968364197532</v>
      </c>
    </row>
    <row r="17" spans="1:20" ht="12.75">
      <c r="A17">
        <v>3.6666666666666665</v>
      </c>
      <c r="B17">
        <v>86.60069444444446</v>
      </c>
      <c r="C17">
        <v>88.69890432098767</v>
      </c>
      <c r="D17">
        <v>90.6534413580247</v>
      </c>
      <c r="E17">
        <v>92.46430555555557</v>
      </c>
      <c r="F17">
        <v>94.13149691358026</v>
      </c>
      <c r="G17">
        <v>95.65501543209876</v>
      </c>
      <c r="H17">
        <v>97.03486111111111</v>
      </c>
      <c r="I17">
        <v>98.2710339506173</v>
      </c>
      <c r="J17">
        <v>99.36353395061728</v>
      </c>
      <c r="K17">
        <v>100.31236111111112</v>
      </c>
      <c r="L17">
        <v>101.11751543209878</v>
      </c>
      <c r="M17">
        <v>101.77899691358024</v>
      </c>
      <c r="N17">
        <v>102.29680555555557</v>
      </c>
      <c r="O17">
        <v>102.67094135802469</v>
      </c>
      <c r="P17">
        <v>102.90140432098767</v>
      </c>
      <c r="Q17">
        <v>102.98819444444445</v>
      </c>
      <c r="R17">
        <v>102.93131172839507</v>
      </c>
      <c r="S17">
        <v>102.73075617283952</v>
      </c>
      <c r="T17">
        <v>102.38652777777779</v>
      </c>
    </row>
    <row r="18" spans="1:20" ht="12.75">
      <c r="A18">
        <v>3.7777777777777777</v>
      </c>
      <c r="B18">
        <v>85.31070216049383</v>
      </c>
      <c r="C18">
        <v>87.44660493827162</v>
      </c>
      <c r="D18">
        <v>89.43883487654321</v>
      </c>
      <c r="E18">
        <v>91.28739197530865</v>
      </c>
      <c r="F18">
        <v>92.99227623456792</v>
      </c>
      <c r="G18">
        <v>94.55348765432099</v>
      </c>
      <c r="H18">
        <v>95.9710262345679</v>
      </c>
      <c r="I18">
        <v>97.24489197530865</v>
      </c>
      <c r="J18">
        <v>98.37508487654321</v>
      </c>
      <c r="K18">
        <v>99.36160493827161</v>
      </c>
      <c r="L18">
        <v>100.20445216049384</v>
      </c>
      <c r="M18">
        <v>100.90362654320988</v>
      </c>
      <c r="N18">
        <v>101.45912808641977</v>
      </c>
      <c r="O18">
        <v>101.87095679012346</v>
      </c>
      <c r="P18">
        <v>102.139112654321</v>
      </c>
      <c r="Q18">
        <v>102.26359567901235</v>
      </c>
      <c r="R18">
        <v>102.24440586419755</v>
      </c>
      <c r="S18">
        <v>102.08154320987656</v>
      </c>
      <c r="T18">
        <v>101.7750077160494</v>
      </c>
    </row>
    <row r="19" spans="1:20" ht="12.75">
      <c r="A19">
        <v>3.888888888888889</v>
      </c>
      <c r="B19">
        <v>83.60234567901236</v>
      </c>
      <c r="C19">
        <v>85.77594135802471</v>
      </c>
      <c r="D19">
        <v>87.80586419753087</v>
      </c>
      <c r="E19">
        <v>89.69211419753087</v>
      </c>
      <c r="F19">
        <v>91.43469135802471</v>
      </c>
      <c r="G19">
        <v>93.03359567901235</v>
      </c>
      <c r="H19">
        <v>94.48882716049384</v>
      </c>
      <c r="I19">
        <v>95.80038580246915</v>
      </c>
      <c r="J19">
        <v>96.96827160493828</v>
      </c>
      <c r="K19">
        <v>97.99248456790124</v>
      </c>
      <c r="L19">
        <v>98.87302469135804</v>
      </c>
      <c r="M19">
        <v>99.60989197530864</v>
      </c>
      <c r="N19">
        <v>100.20308641975309</v>
      </c>
      <c r="O19">
        <v>100.65260802469136</v>
      </c>
      <c r="P19">
        <v>100.95845679012348</v>
      </c>
      <c r="Q19">
        <v>101.1206327160494</v>
      </c>
      <c r="R19">
        <v>101.13913580246916</v>
      </c>
      <c r="S19">
        <v>101.01396604938273</v>
      </c>
      <c r="T19">
        <v>100.74512345679014</v>
      </c>
    </row>
    <row r="20" spans="1:20" ht="12.75">
      <c r="A20">
        <v>4</v>
      </c>
      <c r="B20">
        <v>81.475625</v>
      </c>
      <c r="C20">
        <v>83.68691358024694</v>
      </c>
      <c r="D20">
        <v>85.75452932098766</v>
      </c>
      <c r="E20">
        <v>87.67847222222224</v>
      </c>
      <c r="F20">
        <v>89.45874228395063</v>
      </c>
      <c r="G20">
        <v>91.09533950617282</v>
      </c>
      <c r="H20">
        <v>92.58826388888889</v>
      </c>
      <c r="I20">
        <v>93.93751543209878</v>
      </c>
      <c r="J20">
        <v>95.14309413580247</v>
      </c>
      <c r="K20">
        <v>96.205</v>
      </c>
      <c r="L20">
        <v>97.12323302469136</v>
      </c>
      <c r="M20">
        <v>97.89779320987655</v>
      </c>
      <c r="N20">
        <v>98.52868055555555</v>
      </c>
      <c r="O20">
        <v>99.0158950617284</v>
      </c>
      <c r="P20">
        <v>99.35943672839507</v>
      </c>
      <c r="Q20">
        <v>99.55930555555557</v>
      </c>
      <c r="R20">
        <v>99.6155015432099</v>
      </c>
      <c r="S20">
        <v>99.52802469135804</v>
      </c>
      <c r="T20">
        <v>99.296875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AE121"/>
  <sheetViews>
    <sheetView showGridLines="0" zoomScale="75" zoomScaleNormal="75" workbookViewId="0" topLeftCell="A1">
      <selection activeCell="S26" sqref="S26"/>
    </sheetView>
  </sheetViews>
  <sheetFormatPr defaultColWidth="9.140625" defaultRowHeight="12.75"/>
  <cols>
    <col min="2" max="2" width="13.421875" style="0" bestFit="1" customWidth="1"/>
    <col min="3" max="3" width="14.421875" style="0" bestFit="1" customWidth="1"/>
    <col min="4" max="4" width="9.8515625" style="0" bestFit="1" customWidth="1"/>
    <col min="5" max="5" width="10.00390625" style="0" bestFit="1" customWidth="1"/>
    <col min="6" max="6" width="6.57421875" style="0" customWidth="1"/>
    <col min="7" max="7" width="4.57421875" style="0" customWidth="1"/>
    <col min="8" max="8" width="11.7109375" style="0" bestFit="1" customWidth="1"/>
    <col min="9" max="9" width="10.00390625" style="0" bestFit="1" customWidth="1"/>
    <col min="10" max="10" width="6.57421875" style="0" customWidth="1"/>
    <col min="11" max="11" width="4.57421875" style="0" customWidth="1"/>
    <col min="12" max="14" width="1.7109375" style="0" customWidth="1"/>
    <col min="15" max="15" width="9.7109375" style="0" bestFit="1" customWidth="1"/>
    <col min="16" max="16" width="21.28125" style="0" customWidth="1"/>
    <col min="17" max="17" width="9.8515625" style="0" customWidth="1"/>
    <col min="18" max="18" width="14.421875" style="0" bestFit="1" customWidth="1"/>
    <col min="19" max="19" width="14.28125" style="0" bestFit="1" customWidth="1"/>
    <col min="20" max="21" width="1.7109375" style="0" customWidth="1"/>
    <col min="22" max="22" width="13.7109375" style="0" bestFit="1" customWidth="1"/>
    <col min="23" max="23" width="14.421875" style="0" bestFit="1" customWidth="1"/>
    <col min="24" max="24" width="9.8515625" style="0" bestFit="1" customWidth="1"/>
    <col min="25" max="25" width="10.00390625" style="0" bestFit="1" customWidth="1"/>
    <col min="26" max="26" width="4.8515625" style="0" customWidth="1"/>
    <col min="27" max="27" width="4.57421875" style="0" customWidth="1"/>
    <col min="28" max="28" width="11.7109375" style="0" bestFit="1" customWidth="1"/>
    <col min="29" max="29" width="10.00390625" style="0" bestFit="1" customWidth="1"/>
    <col min="30" max="30" width="4.8515625" style="0" customWidth="1"/>
    <col min="31" max="31" width="4.57421875" style="0" customWidth="1"/>
  </cols>
  <sheetData>
    <row r="4" ht="13.5" thickBot="1"/>
    <row r="5" spans="2:31" ht="14.25" thickBot="1" thickTop="1">
      <c r="B5" s="9" t="s">
        <v>21</v>
      </c>
      <c r="C5" s="10"/>
      <c r="D5" s="11"/>
      <c r="E5" s="12"/>
      <c r="F5" s="12"/>
      <c r="G5" s="13"/>
      <c r="H5" s="11"/>
      <c r="I5" s="12"/>
      <c r="J5" s="12"/>
      <c r="K5" s="13"/>
      <c r="V5" s="9" t="s">
        <v>49</v>
      </c>
      <c r="W5" s="10"/>
      <c r="X5" s="11"/>
      <c r="Y5" s="12"/>
      <c r="Z5" s="12"/>
      <c r="AA5" s="13"/>
      <c r="AB5" s="11"/>
      <c r="AC5" s="12"/>
      <c r="AD5" s="12"/>
      <c r="AE5" s="13"/>
    </row>
    <row r="6" spans="2:31" ht="13.5" thickTop="1">
      <c r="B6" s="14"/>
      <c r="C6" s="15"/>
      <c r="D6" s="14" t="s">
        <v>20</v>
      </c>
      <c r="E6" s="15"/>
      <c r="F6" s="15"/>
      <c r="G6" s="16"/>
      <c r="H6" s="14" t="s">
        <v>15</v>
      </c>
      <c r="I6" s="15"/>
      <c r="J6" s="15"/>
      <c r="K6" s="16"/>
      <c r="O6" s="9" t="s">
        <v>0</v>
      </c>
      <c r="P6" s="10" t="s">
        <v>22</v>
      </c>
      <c r="Q6" s="10" t="s">
        <v>50</v>
      </c>
      <c r="R6" s="10" t="s">
        <v>51</v>
      </c>
      <c r="S6" s="45" t="s">
        <v>52</v>
      </c>
      <c r="V6" s="14"/>
      <c r="W6" s="15"/>
      <c r="X6" s="14" t="s">
        <v>20</v>
      </c>
      <c r="Y6" s="15"/>
      <c r="Z6" s="15"/>
      <c r="AA6" s="16"/>
      <c r="AB6" s="14" t="s">
        <v>15</v>
      </c>
      <c r="AC6" s="15"/>
      <c r="AD6" s="15"/>
      <c r="AE6" s="16"/>
    </row>
    <row r="7" spans="2:31" ht="41.25">
      <c r="B7" s="17" t="s">
        <v>0</v>
      </c>
      <c r="C7" s="18" t="s">
        <v>22</v>
      </c>
      <c r="D7" s="17" t="s">
        <v>37</v>
      </c>
      <c r="E7" s="18" t="s">
        <v>38</v>
      </c>
      <c r="F7" s="18" t="s">
        <v>39</v>
      </c>
      <c r="G7" s="7" t="s">
        <v>40</v>
      </c>
      <c r="H7" s="17" t="s">
        <v>37</v>
      </c>
      <c r="I7" s="18" t="s">
        <v>38</v>
      </c>
      <c r="J7" s="18" t="s">
        <v>39</v>
      </c>
      <c r="K7" s="7" t="s">
        <v>40</v>
      </c>
      <c r="O7" s="8"/>
      <c r="P7" s="5"/>
      <c r="Q7" s="5"/>
      <c r="R7" s="5"/>
      <c r="S7" s="6"/>
      <c r="V7" s="17" t="s">
        <v>0</v>
      </c>
      <c r="W7" s="18" t="s">
        <v>22</v>
      </c>
      <c r="X7" s="17" t="s">
        <v>37</v>
      </c>
      <c r="Y7" s="18" t="s">
        <v>38</v>
      </c>
      <c r="Z7" s="18" t="s">
        <v>39</v>
      </c>
      <c r="AA7" s="7" t="s">
        <v>40</v>
      </c>
      <c r="AB7" s="17" t="s">
        <v>37</v>
      </c>
      <c r="AC7" s="18" t="s">
        <v>38</v>
      </c>
      <c r="AD7" s="18" t="s">
        <v>39</v>
      </c>
      <c r="AE7" s="7" t="s">
        <v>40</v>
      </c>
    </row>
    <row r="8" spans="2:31" ht="12.75">
      <c r="B8" s="19" t="s">
        <v>23</v>
      </c>
      <c r="C8" s="20"/>
      <c r="D8" s="21">
        <v>97.23125</v>
      </c>
      <c r="E8" s="22">
        <v>7.278807784866954E-24</v>
      </c>
      <c r="F8" s="20"/>
      <c r="G8" s="23"/>
      <c r="H8" s="21">
        <v>74.04431818181818</v>
      </c>
      <c r="I8" s="22">
        <v>1.4280303609314187E-33</v>
      </c>
      <c r="J8" s="20"/>
      <c r="K8" s="23"/>
      <c r="O8" s="19" t="s">
        <v>1</v>
      </c>
      <c r="P8" s="20" t="s">
        <v>2</v>
      </c>
      <c r="Q8" s="20">
        <v>160</v>
      </c>
      <c r="R8" s="20">
        <v>180</v>
      </c>
      <c r="S8" s="25">
        <v>173.71573972702026</v>
      </c>
      <c r="V8" s="19" t="s">
        <v>23</v>
      </c>
      <c r="W8" s="20"/>
      <c r="X8" s="21">
        <v>2.821797998672566</v>
      </c>
      <c r="Y8" s="22">
        <v>0.00764274801367303</v>
      </c>
      <c r="Z8" s="20"/>
      <c r="AA8" s="23"/>
      <c r="AB8" s="26">
        <v>0.4596194077712553</v>
      </c>
      <c r="AC8" s="22">
        <v>0.0013624075450888505</v>
      </c>
      <c r="AD8" s="20"/>
      <c r="AE8" s="23"/>
    </row>
    <row r="9" spans="1:31" ht="12.75">
      <c r="A9" t="s">
        <v>5</v>
      </c>
      <c r="B9" s="19" t="s">
        <v>1</v>
      </c>
      <c r="C9" s="20" t="s">
        <v>2</v>
      </c>
      <c r="D9" s="21">
        <v>23.5425</v>
      </c>
      <c r="E9" s="22">
        <v>1.1760186354870807E-13</v>
      </c>
      <c r="F9" s="24">
        <v>1</v>
      </c>
      <c r="G9" s="25" t="s">
        <v>41</v>
      </c>
      <c r="H9" s="21">
        <v>19.295</v>
      </c>
      <c r="I9" s="22">
        <v>2.3799381691097496E-23</v>
      </c>
      <c r="J9" s="24">
        <v>1</v>
      </c>
      <c r="K9" s="25" t="s">
        <v>41</v>
      </c>
      <c r="O9" s="19" t="s">
        <v>3</v>
      </c>
      <c r="P9" s="20" t="s">
        <v>4</v>
      </c>
      <c r="Q9" s="20">
        <v>2</v>
      </c>
      <c r="R9" s="20">
        <v>4</v>
      </c>
      <c r="S9" s="25">
        <v>2</v>
      </c>
      <c r="U9" t="s">
        <v>5</v>
      </c>
      <c r="V9" s="19" t="s">
        <v>1</v>
      </c>
      <c r="W9" s="20" t="s">
        <v>2</v>
      </c>
      <c r="X9" s="21">
        <v>-2.4642671324351184</v>
      </c>
      <c r="Y9" s="22">
        <v>0.04040006767957766</v>
      </c>
      <c r="Z9" s="24">
        <v>1</v>
      </c>
      <c r="AA9" s="25" t="s">
        <v>41</v>
      </c>
      <c r="AB9" s="26">
        <v>0.36062445840513935</v>
      </c>
      <c r="AC9" s="22">
        <v>0.0012425004700523249</v>
      </c>
      <c r="AD9" s="24">
        <v>1</v>
      </c>
      <c r="AE9" s="25" t="s">
        <v>41</v>
      </c>
    </row>
    <row r="10" spans="1:31" ht="13.5" thickBot="1">
      <c r="A10" t="s">
        <v>5</v>
      </c>
      <c r="B10" s="19" t="s">
        <v>3</v>
      </c>
      <c r="C10" s="20" t="s">
        <v>4</v>
      </c>
      <c r="D10" s="21">
        <v>15.9175</v>
      </c>
      <c r="E10" s="22">
        <v>3.202300781510101E-10</v>
      </c>
      <c r="F10" s="24">
        <v>1</v>
      </c>
      <c r="G10" s="25" t="s">
        <v>41</v>
      </c>
      <c r="H10" s="21">
        <v>14.35</v>
      </c>
      <c r="I10" s="22">
        <v>2.5223850682958443E-20</v>
      </c>
      <c r="J10" s="24">
        <v>1</v>
      </c>
      <c r="K10" s="25" t="s">
        <v>41</v>
      </c>
      <c r="O10" s="37" t="s">
        <v>5</v>
      </c>
      <c r="P10" s="41" t="s">
        <v>6</v>
      </c>
      <c r="Q10" s="41">
        <v>0</v>
      </c>
      <c r="R10" s="41">
        <v>90</v>
      </c>
      <c r="S10" s="46">
        <v>16.842742543021725</v>
      </c>
      <c r="U10" t="s">
        <v>5</v>
      </c>
      <c r="V10" s="19" t="s">
        <v>3</v>
      </c>
      <c r="W10" s="20" t="s">
        <v>4</v>
      </c>
      <c r="X10" s="21">
        <v>-2.4996224714944453</v>
      </c>
      <c r="Y10" s="22">
        <v>0.038251599265188875</v>
      </c>
      <c r="Z10" s="24">
        <v>1</v>
      </c>
      <c r="AA10" s="25" t="s">
        <v>41</v>
      </c>
      <c r="AB10" s="26">
        <v>0.7778174593052024</v>
      </c>
      <c r="AC10" s="22">
        <v>1.5379259091414553E-06</v>
      </c>
      <c r="AD10" s="24">
        <v>1</v>
      </c>
      <c r="AE10" s="25" t="s">
        <v>41</v>
      </c>
    </row>
    <row r="11" spans="1:31" ht="13.5" thickTop="1">
      <c r="A11" t="s">
        <v>5</v>
      </c>
      <c r="B11" s="19" t="s">
        <v>5</v>
      </c>
      <c r="C11" s="20" t="s">
        <v>6</v>
      </c>
      <c r="D11" s="21">
        <v>5.8575</v>
      </c>
      <c r="E11" s="22">
        <v>0.0008114983595784284</v>
      </c>
      <c r="F11" s="24">
        <v>1</v>
      </c>
      <c r="G11" s="25" t="s">
        <v>41</v>
      </c>
      <c r="H11" s="21">
        <v>-5.5</v>
      </c>
      <c r="I11" s="22">
        <v>4.632294898579521E-11</v>
      </c>
      <c r="J11" s="24">
        <v>1</v>
      </c>
      <c r="K11" s="25" t="s">
        <v>41</v>
      </c>
      <c r="U11" t="s">
        <v>5</v>
      </c>
      <c r="V11" s="19" t="s">
        <v>5</v>
      </c>
      <c r="W11" s="20" t="s">
        <v>6</v>
      </c>
      <c r="X11" s="21">
        <v>2.393556454316463</v>
      </c>
      <c r="Y11" s="22">
        <v>0.04506913663078005</v>
      </c>
      <c r="Z11" s="24">
        <v>1</v>
      </c>
      <c r="AA11" s="25" t="s">
        <v>41</v>
      </c>
      <c r="AB11" s="19"/>
      <c r="AC11" s="20"/>
      <c r="AD11" s="20"/>
      <c r="AE11" s="25"/>
    </row>
    <row r="12" spans="2:31" ht="13.5" thickBot="1">
      <c r="B12" s="19" t="s">
        <v>8</v>
      </c>
      <c r="C12" s="20"/>
      <c r="D12" s="21">
        <v>-5.553125</v>
      </c>
      <c r="E12" s="22">
        <v>0.0033931526933021912</v>
      </c>
      <c r="F12" s="24">
        <v>1</v>
      </c>
      <c r="G12" s="25" t="s">
        <v>41</v>
      </c>
      <c r="H12" s="21">
        <v>-2.53125</v>
      </c>
      <c r="I12" s="22">
        <v>0.00010529001800381455</v>
      </c>
      <c r="J12" s="24">
        <v>1</v>
      </c>
      <c r="K12" s="25" t="s">
        <v>41</v>
      </c>
      <c r="V12" s="19" t="s">
        <v>8</v>
      </c>
      <c r="W12" s="20"/>
      <c r="X12" s="21">
        <v>3.345498958488853</v>
      </c>
      <c r="Y12" s="22">
        <v>0.017980635999084126</v>
      </c>
      <c r="Z12" s="24">
        <v>1</v>
      </c>
      <c r="AA12" s="25" t="s">
        <v>41</v>
      </c>
      <c r="AB12" s="26">
        <v>0.3093592167691145</v>
      </c>
      <c r="AC12" s="22">
        <v>0.007024939521667172</v>
      </c>
      <c r="AD12" s="24">
        <v>1</v>
      </c>
      <c r="AE12" s="25" t="s">
        <v>41</v>
      </c>
    </row>
    <row r="13" spans="2:31" ht="14.25" thickBot="1" thickTop="1">
      <c r="B13" s="19" t="s">
        <v>9</v>
      </c>
      <c r="C13" s="20"/>
      <c r="D13" s="21">
        <v>3.803125</v>
      </c>
      <c r="E13" s="22">
        <v>0.03526518322214782</v>
      </c>
      <c r="F13" s="24">
        <v>1</v>
      </c>
      <c r="G13" s="25" t="s">
        <v>41</v>
      </c>
      <c r="H13" s="19"/>
      <c r="I13" s="20"/>
      <c r="J13" s="20"/>
      <c r="K13" s="25"/>
      <c r="O13" s="52" t="s">
        <v>53</v>
      </c>
      <c r="P13" s="53"/>
      <c r="Q13" s="53"/>
      <c r="R13" s="53"/>
      <c r="S13" s="54"/>
      <c r="V13" s="19" t="s">
        <v>9</v>
      </c>
      <c r="W13" s="20"/>
      <c r="X13" s="21">
        <v>-3.1687222631922163</v>
      </c>
      <c r="Y13" s="22">
        <v>0.022868540062313446</v>
      </c>
      <c r="Z13" s="24">
        <v>1</v>
      </c>
      <c r="AA13" s="25" t="s">
        <v>41</v>
      </c>
      <c r="AB13" s="19"/>
      <c r="AC13" s="20"/>
      <c r="AD13" s="20"/>
      <c r="AE13" s="25"/>
    </row>
    <row r="14" spans="2:31" ht="13.5" thickTop="1">
      <c r="B14" s="19" t="s">
        <v>10</v>
      </c>
      <c r="C14" s="20"/>
      <c r="D14" s="21">
        <v>3.053125</v>
      </c>
      <c r="E14" s="44">
        <v>0.08565944947740581</v>
      </c>
      <c r="F14" s="24">
        <v>1</v>
      </c>
      <c r="G14" s="25" t="s">
        <v>41</v>
      </c>
      <c r="H14" s="21">
        <v>1.28125</v>
      </c>
      <c r="I14" s="22">
        <v>0.02759040622161998</v>
      </c>
      <c r="J14" s="24">
        <v>1</v>
      </c>
      <c r="K14" s="25" t="s">
        <v>41</v>
      </c>
      <c r="O14" s="14"/>
      <c r="P14" s="15"/>
      <c r="Q14" s="15"/>
      <c r="R14" s="15"/>
      <c r="S14" s="16"/>
      <c r="V14" s="19" t="s">
        <v>10</v>
      </c>
      <c r="W14" s="20"/>
      <c r="X14" s="21">
        <v>-3.875829044378764</v>
      </c>
      <c r="Y14" s="22">
        <v>0.008873723629113015</v>
      </c>
      <c r="Z14" s="24">
        <v>1</v>
      </c>
      <c r="AA14" s="25" t="s">
        <v>41</v>
      </c>
      <c r="AB14" s="19"/>
      <c r="AC14" s="20"/>
      <c r="AD14" s="20"/>
      <c r="AE14" s="25"/>
    </row>
    <row r="15" spans="2:31" ht="12.75">
      <c r="B15" s="19" t="s">
        <v>13</v>
      </c>
      <c r="C15" s="20"/>
      <c r="D15" s="21">
        <v>-16.94375</v>
      </c>
      <c r="E15" s="22">
        <v>3.729867403060881E-06</v>
      </c>
      <c r="F15" s="27">
        <v>0.7822222222222228</v>
      </c>
      <c r="G15" s="25" t="s">
        <v>41</v>
      </c>
      <c r="H15" s="21">
        <v>-13.107954545454545</v>
      </c>
      <c r="I15" s="22">
        <v>2.162972754852192E-13</v>
      </c>
      <c r="J15" s="27">
        <v>0.7822222222222228</v>
      </c>
      <c r="K15" s="25" t="s">
        <v>41</v>
      </c>
      <c r="O15" s="14"/>
      <c r="P15" s="15"/>
      <c r="Q15" s="15"/>
      <c r="R15" s="47" t="s">
        <v>54</v>
      </c>
      <c r="S15" s="48"/>
      <c r="V15" s="19" t="s">
        <v>11</v>
      </c>
      <c r="W15" s="20"/>
      <c r="X15" s="21">
        <v>2.9035572202472606</v>
      </c>
      <c r="Y15" s="22">
        <v>0.032912335388776165</v>
      </c>
      <c r="Z15" s="24">
        <v>1</v>
      </c>
      <c r="AA15" s="25" t="s">
        <v>41</v>
      </c>
      <c r="AB15" s="19"/>
      <c r="AC15" s="20"/>
      <c r="AD15" s="20"/>
      <c r="AE15" s="25"/>
    </row>
    <row r="16" spans="2:31" ht="12.75">
      <c r="B16" s="19" t="s">
        <v>14</v>
      </c>
      <c r="C16" s="20"/>
      <c r="D16" s="21">
        <v>-5.818749999999991</v>
      </c>
      <c r="E16" s="22">
        <v>0.04960524475506017</v>
      </c>
      <c r="F16" s="27">
        <v>0.7822222222222228</v>
      </c>
      <c r="G16" s="25" t="s">
        <v>41</v>
      </c>
      <c r="H16" s="21">
        <v>2.642045454545454</v>
      </c>
      <c r="I16" s="22">
        <v>0.007342785879380663</v>
      </c>
      <c r="J16" s="27">
        <v>0.7822222222222228</v>
      </c>
      <c r="K16" s="25" t="s">
        <v>41</v>
      </c>
      <c r="O16" s="17"/>
      <c r="P16" s="18" t="s">
        <v>55</v>
      </c>
      <c r="Q16" s="18" t="s">
        <v>56</v>
      </c>
      <c r="R16" s="18" t="s">
        <v>57</v>
      </c>
      <c r="S16" s="43" t="s">
        <v>58</v>
      </c>
      <c r="V16" s="19" t="s">
        <v>13</v>
      </c>
      <c r="W16" s="20"/>
      <c r="X16" s="19"/>
      <c r="Y16" s="20"/>
      <c r="Z16" s="20"/>
      <c r="AA16" s="25"/>
      <c r="AB16" s="26">
        <v>0.8838834764831849</v>
      </c>
      <c r="AC16" s="22">
        <v>4.654333695369218E-05</v>
      </c>
      <c r="AD16" s="24">
        <v>1</v>
      </c>
      <c r="AE16" s="25" t="s">
        <v>41</v>
      </c>
    </row>
    <row r="17" spans="2:31" ht="12.75">
      <c r="B17" s="28"/>
      <c r="C17" s="29"/>
      <c r="D17" s="28"/>
      <c r="E17" s="29"/>
      <c r="F17" s="29"/>
      <c r="G17" s="30"/>
      <c r="H17" s="28"/>
      <c r="I17" s="29"/>
      <c r="J17" s="29"/>
      <c r="K17" s="30"/>
      <c r="O17" s="19" t="s">
        <v>20</v>
      </c>
      <c r="P17" s="27">
        <f>YhatPredictR1</f>
        <v>70.26403938178723</v>
      </c>
      <c r="Q17" s="27">
        <f>ShatPredictR1</f>
        <v>0.6516080896014101</v>
      </c>
      <c r="R17" s="55">
        <f>P17-3*Q17</f>
        <v>68.309215112983</v>
      </c>
      <c r="S17" s="56">
        <f>P17+3*Q17</f>
        <v>72.21886365059146</v>
      </c>
      <c r="V17" s="28"/>
      <c r="W17" s="29"/>
      <c r="X17" s="28"/>
      <c r="Y17" s="29"/>
      <c r="Z17" s="29"/>
      <c r="AA17" s="30"/>
      <c r="AB17" s="28"/>
      <c r="AC17" s="29"/>
      <c r="AD17" s="29"/>
      <c r="AE17" s="30"/>
    </row>
    <row r="18" spans="2:31" ht="15" thickBot="1">
      <c r="B18" s="28"/>
      <c r="C18" s="15" t="s">
        <v>31</v>
      </c>
      <c r="D18" s="31">
        <v>0.9513755167767005</v>
      </c>
      <c r="E18" s="29"/>
      <c r="F18" s="29"/>
      <c r="G18" s="30"/>
      <c r="H18" s="31">
        <v>0.9915205077742726</v>
      </c>
      <c r="I18" s="29"/>
      <c r="J18" s="29"/>
      <c r="K18" s="30"/>
      <c r="O18" s="37" t="s">
        <v>15</v>
      </c>
      <c r="P18" s="49">
        <f>YhatPredictR2</f>
        <v>59.97399007055828</v>
      </c>
      <c r="Q18" s="49">
        <f>ShatPredictR2</f>
        <v>0.5847342544454655</v>
      </c>
      <c r="R18" s="50">
        <f>P18-3*Q18</f>
        <v>58.219787307221885</v>
      </c>
      <c r="S18" s="51">
        <f>P18+3*Q18</f>
        <v>61.728192833894674</v>
      </c>
      <c r="V18" s="28"/>
      <c r="W18" s="15" t="s">
        <v>31</v>
      </c>
      <c r="X18" s="31">
        <v>0.8685438966355993</v>
      </c>
      <c r="Y18" s="29"/>
      <c r="Z18" s="29"/>
      <c r="AA18" s="30"/>
      <c r="AB18" s="31">
        <v>0.9347243157477191</v>
      </c>
      <c r="AC18" s="29"/>
      <c r="AD18" s="29"/>
      <c r="AE18" s="30"/>
    </row>
    <row r="19" spans="2:31" ht="15" thickTop="1">
      <c r="B19" s="28"/>
      <c r="C19" s="15" t="s">
        <v>32</v>
      </c>
      <c r="D19" s="31">
        <v>0.9344626530468572</v>
      </c>
      <c r="E19" s="29"/>
      <c r="F19" s="29"/>
      <c r="G19" s="30"/>
      <c r="H19" s="31">
        <v>0.9890473225417687</v>
      </c>
      <c r="I19" s="29"/>
      <c r="J19" s="29"/>
      <c r="K19" s="30"/>
      <c r="V19" s="28"/>
      <c r="W19" s="15" t="s">
        <v>32</v>
      </c>
      <c r="X19" s="31">
        <v>0.7535198061917486</v>
      </c>
      <c r="Y19" s="29"/>
      <c r="Z19" s="29"/>
      <c r="AA19" s="30"/>
      <c r="AB19" s="31">
        <v>0.9109877032923442</v>
      </c>
      <c r="AC19" s="29"/>
      <c r="AD19" s="29"/>
      <c r="AE19" s="30"/>
    </row>
    <row r="20" spans="2:31" ht="12.75">
      <c r="B20" s="28"/>
      <c r="C20" s="15" t="s">
        <v>24</v>
      </c>
      <c r="D20" s="31">
        <v>6.800188516408617</v>
      </c>
      <c r="E20" s="29"/>
      <c r="F20" s="29"/>
      <c r="G20" s="30"/>
      <c r="H20" s="31">
        <v>2.184882199861752</v>
      </c>
      <c r="I20" s="29"/>
      <c r="J20" s="29"/>
      <c r="K20" s="30"/>
      <c r="V20" s="28"/>
      <c r="W20" s="15" t="s">
        <v>24</v>
      </c>
      <c r="X20" s="31">
        <v>3.1903231982629907</v>
      </c>
      <c r="Y20" s="29"/>
      <c r="Z20" s="29"/>
      <c r="AA20" s="30"/>
      <c r="AB20" s="31">
        <v>0.2648112535373071</v>
      </c>
      <c r="AC20" s="29"/>
      <c r="AD20" s="29"/>
      <c r="AE20" s="30"/>
    </row>
    <row r="21" spans="2:31" ht="12.75">
      <c r="B21" s="28"/>
      <c r="C21" s="15" t="s">
        <v>25</v>
      </c>
      <c r="D21" s="31">
        <v>56.251592395789764</v>
      </c>
      <c r="E21" s="29"/>
      <c r="F21" s="29"/>
      <c r="G21" s="30"/>
      <c r="H21" s="31">
        <v>400.908308339898</v>
      </c>
      <c r="I21" s="29"/>
      <c r="J21" s="29"/>
      <c r="K21" s="30"/>
      <c r="V21" s="28"/>
      <c r="W21" s="15" t="s">
        <v>25</v>
      </c>
      <c r="X21" s="31">
        <v>7.550973828909189</v>
      </c>
      <c r="Y21" s="29"/>
      <c r="Z21" s="29"/>
      <c r="AA21" s="30"/>
      <c r="AB21" s="31">
        <v>39.37901069518721</v>
      </c>
      <c r="AC21" s="29"/>
      <c r="AD21" s="29"/>
      <c r="AE21" s="30"/>
    </row>
    <row r="22" spans="2:31" ht="12.75">
      <c r="B22" s="28"/>
      <c r="C22" s="15" t="s">
        <v>26</v>
      </c>
      <c r="D22" s="31">
        <v>2.8163310581172186E-13</v>
      </c>
      <c r="E22" s="29"/>
      <c r="F22" s="29"/>
      <c r="G22" s="30"/>
      <c r="H22" s="31">
        <v>2.8498964603284595E-23</v>
      </c>
      <c r="I22" s="29"/>
      <c r="J22" s="29"/>
      <c r="K22" s="30"/>
      <c r="V22" s="28"/>
      <c r="W22" s="15" t="s">
        <v>26</v>
      </c>
      <c r="X22" s="31">
        <v>0.005312467075689137</v>
      </c>
      <c r="Y22" s="29"/>
      <c r="Z22" s="29"/>
      <c r="AA22" s="30"/>
      <c r="AB22" s="31">
        <v>1.8593914465302264E-06</v>
      </c>
      <c r="AC22" s="29"/>
      <c r="AD22" s="29"/>
      <c r="AE22" s="30"/>
    </row>
    <row r="23" spans="2:31" ht="15.75">
      <c r="B23" s="28"/>
      <c r="C23" s="15" t="s">
        <v>33</v>
      </c>
      <c r="D23" s="31">
        <v>1.1272103768310184</v>
      </c>
      <c r="E23" s="29"/>
      <c r="F23" s="29"/>
      <c r="G23" s="30"/>
      <c r="H23" s="31">
        <v>5.04996936942891</v>
      </c>
      <c r="I23" s="29"/>
      <c r="J23" s="29"/>
      <c r="K23" s="30"/>
      <c r="V23" s="28"/>
      <c r="W23" s="15" t="s">
        <v>33</v>
      </c>
      <c r="X23" s="31">
        <v>185.9721071428539</v>
      </c>
      <c r="Y23" s="29"/>
      <c r="Z23" s="29"/>
      <c r="AA23" s="30"/>
      <c r="AB23" s="31">
        <v>1.5728461538461254</v>
      </c>
      <c r="AC23" s="29"/>
      <c r="AD23" s="29"/>
      <c r="AE23" s="30"/>
    </row>
    <row r="24" spans="2:31" ht="15.75">
      <c r="B24" s="28"/>
      <c r="C24" s="15" t="s">
        <v>34</v>
      </c>
      <c r="D24" s="31">
        <v>0.3881676683751383</v>
      </c>
      <c r="E24" s="29"/>
      <c r="F24" s="29"/>
      <c r="G24" s="30"/>
      <c r="H24" s="31">
        <v>0.0030188727490354232</v>
      </c>
      <c r="I24" s="29"/>
      <c r="J24" s="29"/>
      <c r="K24" s="30"/>
      <c r="V24" s="28"/>
      <c r="W24" s="15" t="s">
        <v>34</v>
      </c>
      <c r="X24" s="31">
        <v>0.056404356279604585</v>
      </c>
      <c r="Y24" s="29"/>
      <c r="Z24" s="29"/>
      <c r="AA24" s="30"/>
      <c r="AB24" s="31">
        <v>0.28163717580637304</v>
      </c>
      <c r="AC24" s="29"/>
      <c r="AD24" s="29"/>
      <c r="AE24" s="30"/>
    </row>
    <row r="25" spans="2:31" ht="13.5" thickBot="1">
      <c r="B25" s="28"/>
      <c r="C25" s="15"/>
      <c r="D25" s="28"/>
      <c r="E25" s="29"/>
      <c r="F25" s="29"/>
      <c r="G25" s="30"/>
      <c r="H25" s="28"/>
      <c r="I25" s="29"/>
      <c r="J25" s="29"/>
      <c r="K25" s="30"/>
      <c r="V25" s="28"/>
      <c r="W25" s="15"/>
      <c r="X25" s="28"/>
      <c r="Y25" s="29"/>
      <c r="Z25" s="29"/>
      <c r="AA25" s="30"/>
      <c r="AB25" s="28"/>
      <c r="AC25" s="29"/>
      <c r="AD25" s="29"/>
      <c r="AE25" s="30"/>
    </row>
    <row r="26" spans="2:31" ht="13.5" thickBot="1">
      <c r="B26" s="28"/>
      <c r="C26" s="15" t="s">
        <v>27</v>
      </c>
      <c r="D26" s="32" t="s">
        <v>42</v>
      </c>
      <c r="E26" s="33" t="s">
        <v>43</v>
      </c>
      <c r="F26" s="33" t="s">
        <v>44</v>
      </c>
      <c r="G26" s="34"/>
      <c r="H26" s="32" t="s">
        <v>42</v>
      </c>
      <c r="I26" s="33" t="s">
        <v>43</v>
      </c>
      <c r="J26" s="33" t="s">
        <v>44</v>
      </c>
      <c r="K26" s="34"/>
      <c r="V26" s="28"/>
      <c r="W26" s="15" t="s">
        <v>27</v>
      </c>
      <c r="X26" s="32" t="s">
        <v>42</v>
      </c>
      <c r="Y26" s="33" t="s">
        <v>43</v>
      </c>
      <c r="Z26" s="33" t="s">
        <v>44</v>
      </c>
      <c r="AA26" s="34"/>
      <c r="AB26" s="32" t="s">
        <v>42</v>
      </c>
      <c r="AC26" s="33" t="s">
        <v>43</v>
      </c>
      <c r="AD26" s="33" t="s">
        <v>44</v>
      </c>
      <c r="AE26" s="34"/>
    </row>
    <row r="27" spans="2:31" ht="12.75">
      <c r="B27" s="28"/>
      <c r="C27" s="15" t="s">
        <v>28</v>
      </c>
      <c r="D27" s="35">
        <v>20809.742828125</v>
      </c>
      <c r="E27" s="24">
        <v>8</v>
      </c>
      <c r="F27" s="36">
        <v>2601.217853515625</v>
      </c>
      <c r="G27" s="23"/>
      <c r="H27" s="35">
        <v>13396.740642045455</v>
      </c>
      <c r="I27" s="24">
        <v>7</v>
      </c>
      <c r="J27" s="36">
        <v>1913.8200917207794</v>
      </c>
      <c r="K27" s="23"/>
      <c r="V27" s="28"/>
      <c r="W27" s="15" t="s">
        <v>28</v>
      </c>
      <c r="X27" s="35">
        <v>537.9852500000003</v>
      </c>
      <c r="Y27" s="24">
        <v>7</v>
      </c>
      <c r="Z27" s="36">
        <v>76.85503571428576</v>
      </c>
      <c r="AA27" s="23"/>
      <c r="AB27" s="35">
        <v>11.045812500000006</v>
      </c>
      <c r="AC27" s="24">
        <v>4</v>
      </c>
      <c r="AD27" s="36">
        <v>2.7614531250000014</v>
      </c>
      <c r="AE27" s="23"/>
    </row>
    <row r="28" spans="2:31" ht="12.75">
      <c r="B28" s="28"/>
      <c r="C28" s="15" t="s">
        <v>29</v>
      </c>
      <c r="D28" s="35">
        <v>1063.5789687499991</v>
      </c>
      <c r="E28" s="24">
        <v>23</v>
      </c>
      <c r="F28" s="36">
        <v>46.24256385869562</v>
      </c>
      <c r="G28" s="23"/>
      <c r="H28" s="35">
        <v>114.56904545454547</v>
      </c>
      <c r="I28" s="24">
        <v>24</v>
      </c>
      <c r="J28" s="36">
        <v>4.773710227272728</v>
      </c>
      <c r="K28" s="23"/>
      <c r="V28" s="28"/>
      <c r="W28" s="15" t="s">
        <v>29</v>
      </c>
      <c r="X28" s="35">
        <v>81.42529687499999</v>
      </c>
      <c r="Y28" s="24">
        <v>8</v>
      </c>
      <c r="Z28" s="36">
        <v>10.178162109374998</v>
      </c>
      <c r="AA28" s="23"/>
      <c r="AB28" s="35">
        <v>0.7713749999999995</v>
      </c>
      <c r="AC28" s="24">
        <v>11</v>
      </c>
      <c r="AD28" s="36">
        <v>0.07012499999999995</v>
      </c>
      <c r="AE28" s="23"/>
    </row>
    <row r="29" spans="2:31" ht="15">
      <c r="B29" s="28"/>
      <c r="C29" s="15" t="s">
        <v>35</v>
      </c>
      <c r="D29" s="35">
        <v>760.8737500000002</v>
      </c>
      <c r="E29" s="24">
        <v>17</v>
      </c>
      <c r="F29" s="36">
        <v>44.75727941176472</v>
      </c>
      <c r="G29" s="23"/>
      <c r="H29" s="35">
        <v>37.20500000000105</v>
      </c>
      <c r="I29" s="24">
        <v>17</v>
      </c>
      <c r="J29" s="36">
        <v>2.1885294117647676</v>
      </c>
      <c r="K29" s="23"/>
      <c r="V29" s="28"/>
      <c r="W29" s="15" t="s">
        <v>35</v>
      </c>
      <c r="X29" s="35">
        <v>0.06250000000000108</v>
      </c>
      <c r="Y29" s="24">
        <v>1</v>
      </c>
      <c r="Z29" s="36">
        <v>0.06250000000000108</v>
      </c>
      <c r="AA29" s="23"/>
      <c r="AB29" s="35">
        <v>0.4062500000000032</v>
      </c>
      <c r="AC29" s="24">
        <v>7</v>
      </c>
      <c r="AD29" s="36">
        <v>0.058035714285714746</v>
      </c>
      <c r="AE29" s="23"/>
    </row>
    <row r="30" spans="2:31" ht="15">
      <c r="B30" s="28"/>
      <c r="C30" s="15" t="s">
        <v>36</v>
      </c>
      <c r="D30" s="35">
        <v>302.70521874999895</v>
      </c>
      <c r="E30" s="24">
        <v>6</v>
      </c>
      <c r="F30" s="36">
        <v>50.45086979166649</v>
      </c>
      <c r="G30" s="23"/>
      <c r="H30" s="35">
        <v>77.36404545454442</v>
      </c>
      <c r="I30" s="24">
        <v>7</v>
      </c>
      <c r="J30" s="36">
        <v>11.052006493506346</v>
      </c>
      <c r="K30" s="23"/>
      <c r="V30" s="28"/>
      <c r="W30" s="15" t="s">
        <v>36</v>
      </c>
      <c r="X30" s="35">
        <v>81.36279687499999</v>
      </c>
      <c r="Y30" s="24">
        <v>7</v>
      </c>
      <c r="Z30" s="36">
        <v>11.62325669642857</v>
      </c>
      <c r="AA30" s="23"/>
      <c r="AB30" s="35">
        <v>0.36512499999999626</v>
      </c>
      <c r="AC30" s="24">
        <v>4</v>
      </c>
      <c r="AD30" s="36">
        <v>0.09128124999999906</v>
      </c>
      <c r="AE30" s="23"/>
    </row>
    <row r="31" spans="2:31" ht="13.5" thickBot="1">
      <c r="B31" s="37"/>
      <c r="C31" s="38" t="s">
        <v>30</v>
      </c>
      <c r="D31" s="39">
        <v>21873.321796875</v>
      </c>
      <c r="E31" s="40">
        <v>31</v>
      </c>
      <c r="F31" s="41"/>
      <c r="G31" s="42"/>
      <c r="H31" s="39">
        <v>13511.309687500001</v>
      </c>
      <c r="I31" s="40">
        <v>31</v>
      </c>
      <c r="J31" s="41"/>
      <c r="K31" s="42"/>
      <c r="V31" s="37"/>
      <c r="W31" s="38" t="s">
        <v>30</v>
      </c>
      <c r="X31" s="39">
        <v>619.4105468750003</v>
      </c>
      <c r="Y31" s="40">
        <v>15</v>
      </c>
      <c r="Z31" s="41"/>
      <c r="AA31" s="42"/>
      <c r="AB31" s="39">
        <v>11.8171875</v>
      </c>
      <c r="AC31" s="40">
        <v>15</v>
      </c>
      <c r="AD31" s="41"/>
      <c r="AE31" s="42"/>
    </row>
    <row r="32" ht="13.5" thickTop="1"/>
    <row r="109" spans="2:24" ht="12.75">
      <c r="B109" t="s">
        <v>45</v>
      </c>
      <c r="C109" t="s">
        <v>46</v>
      </c>
      <c r="D109" t="s">
        <v>47</v>
      </c>
      <c r="V109" t="s">
        <v>45</v>
      </c>
      <c r="W109" t="s">
        <v>46</v>
      </c>
      <c r="X109" t="s">
        <v>47</v>
      </c>
    </row>
    <row r="110" spans="2:28" ht="12.75">
      <c r="B110" t="s">
        <v>48</v>
      </c>
      <c r="E110">
        <v>97.23125</v>
      </c>
      <c r="F110">
        <v>74.04431818181818</v>
      </c>
      <c r="G110">
        <f>E110</f>
        <v>97.23125</v>
      </c>
      <c r="H110">
        <f>F110</f>
        <v>74.04431818181818</v>
      </c>
      <c r="V110" t="s">
        <v>48</v>
      </c>
      <c r="Y110">
        <v>2.821797998672566</v>
      </c>
      <c r="Z110">
        <v>0.4596194077712553</v>
      </c>
      <c r="AA110">
        <f>Y110</f>
        <v>2.821797998672566</v>
      </c>
      <c r="AB110">
        <f>Z110</f>
        <v>0.4596194077712553</v>
      </c>
    </row>
    <row r="111" spans="2:28" ht="12.75">
      <c r="B111" t="s">
        <v>1</v>
      </c>
      <c r="C111">
        <f>AExper</f>
        <v>173.71573972702026</v>
      </c>
      <c r="D111">
        <f>(C111-170)/10</f>
        <v>0.37157397270202636</v>
      </c>
      <c r="E111">
        <f>IF(UPPER($G$9)="X",23.5425,0)</f>
        <v>23.5425</v>
      </c>
      <c r="F111">
        <f>IF(UPPER($K$9)="X",19.295,0)</f>
        <v>19.295</v>
      </c>
      <c r="G111">
        <f aca="true" t="shared" si="0" ref="G111:G120">E111*D111</f>
        <v>8.747780252337456</v>
      </c>
      <c r="H111">
        <f aca="true" t="shared" si="1" ref="H111:H120">F111*D111</f>
        <v>7.169519803285599</v>
      </c>
      <c r="V111" t="s">
        <v>1</v>
      </c>
      <c r="W111">
        <f>AExper</f>
        <v>173.71573972702026</v>
      </c>
      <c r="X111">
        <f>(W111-170)/10</f>
        <v>0.37157397270202636</v>
      </c>
      <c r="Y111">
        <f>IF(UPPER($AA$9)="X",-2.46426713243512,0)</f>
        <v>-2.46426713243512</v>
      </c>
      <c r="Z111">
        <f>IF(UPPER($AE$9)="X",0.360624458405139,0)</f>
        <v>0.360624458405139</v>
      </c>
      <c r="AA111">
        <f aca="true" t="shared" si="2" ref="AA111:AA120">Y111*X111</f>
        <v>-0.9156575281979481</v>
      </c>
      <c r="AB111">
        <f aca="true" t="shared" si="3" ref="AB111:AB120">Z111*X111</f>
        <v>0.13399866266311417</v>
      </c>
    </row>
    <row r="112" spans="2:28" ht="12.75">
      <c r="B112" t="s">
        <v>3</v>
      </c>
      <c r="C112">
        <f>BExper</f>
        <v>2</v>
      </c>
      <c r="D112">
        <f>(C112-3)/1</f>
        <v>-1</v>
      </c>
      <c r="E112">
        <f>IF(UPPER($G$10)="X",15.9175,0)</f>
        <v>15.9175</v>
      </c>
      <c r="F112">
        <f>IF(UPPER($K$10)="X",14.35,0)</f>
        <v>14.35</v>
      </c>
      <c r="G112">
        <f t="shared" si="0"/>
        <v>-15.9175</v>
      </c>
      <c r="H112">
        <f t="shared" si="1"/>
        <v>-14.35</v>
      </c>
      <c r="V112" t="s">
        <v>3</v>
      </c>
      <c r="W112">
        <f>BExper</f>
        <v>2</v>
      </c>
      <c r="X112">
        <f>(W112-3)/1</f>
        <v>-1</v>
      </c>
      <c r="Y112">
        <f>IF(UPPER($AA$10)="X",-2.49962247149445,0)</f>
        <v>-2.49962247149445</v>
      </c>
      <c r="Z112">
        <f>IF(UPPER($AE$10)="X",0.777817459305202,0)</f>
        <v>0.777817459305202</v>
      </c>
      <c r="AA112">
        <f t="shared" si="2"/>
        <v>2.49962247149445</v>
      </c>
      <c r="AB112">
        <f t="shared" si="3"/>
        <v>-0.777817459305202</v>
      </c>
    </row>
    <row r="113" spans="2:28" ht="12.75">
      <c r="B113" t="s">
        <v>5</v>
      </c>
      <c r="C113">
        <f>CExper</f>
        <v>16.842742543021725</v>
      </c>
      <c r="D113">
        <f>(C113-45)/45</f>
        <v>-0.625716832377295</v>
      </c>
      <c r="E113">
        <f>IF(UPPER($G$11)="X",5.8575,0)</f>
        <v>5.8575</v>
      </c>
      <c r="F113">
        <f>IF(UPPER($K$11)="X",-5.5,0)</f>
        <v>-5.5</v>
      </c>
      <c r="G113">
        <f t="shared" si="0"/>
        <v>-3.6651363456500055</v>
      </c>
      <c r="H113">
        <f t="shared" si="1"/>
        <v>3.4414425780751228</v>
      </c>
      <c r="V113" t="s">
        <v>5</v>
      </c>
      <c r="W113">
        <f>CExper</f>
        <v>16.842742543021725</v>
      </c>
      <c r="X113">
        <f>(W113-45)/45</f>
        <v>-0.625716832377295</v>
      </c>
      <c r="Y113">
        <f>IF(UPPER($AA$11)="X",2.39355645431646,0)</f>
        <v>2.39355645431646</v>
      </c>
      <c r="Z113">
        <v>0</v>
      </c>
      <c r="AA113">
        <f t="shared" si="2"/>
        <v>-1.497688562711125</v>
      </c>
      <c r="AB113">
        <f t="shared" si="3"/>
        <v>0</v>
      </c>
    </row>
    <row r="114" spans="2:28" ht="12.75">
      <c r="B114" t="s">
        <v>8</v>
      </c>
      <c r="D114">
        <f>$D$111*$D$112</f>
        <v>-0.37157397270202636</v>
      </c>
      <c r="E114">
        <f>IF(UPPER($G$12)="X",-5.553125,0)</f>
        <v>-5.553125</v>
      </c>
      <c r="F114">
        <f>IF(UPPER($K$12)="X",-2.53125,0)</f>
        <v>-2.53125</v>
      </c>
      <c r="G114">
        <f t="shared" si="0"/>
        <v>2.06339671716094</v>
      </c>
      <c r="H114">
        <f t="shared" si="1"/>
        <v>0.9405466184020043</v>
      </c>
      <c r="V114" t="s">
        <v>8</v>
      </c>
      <c r="X114">
        <f>$X$111*$X$112</f>
        <v>-0.37157397270202636</v>
      </c>
      <c r="Y114">
        <f>IF(UPPER($AA$12)="X",3.34549895848885,0)</f>
        <v>3.34549895848885</v>
      </c>
      <c r="Z114">
        <f>IF(UPPER($AE$12)="X",0.309359216769114,0)</f>
        <v>0.309359216769114</v>
      </c>
      <c r="AA114">
        <f t="shared" si="2"/>
        <v>-1.2431003386761936</v>
      </c>
      <c r="AB114">
        <f t="shared" si="3"/>
        <v>-0.11494983316688702</v>
      </c>
    </row>
    <row r="115" spans="2:28" ht="12.75">
      <c r="B115" t="s">
        <v>9</v>
      </c>
      <c r="D115">
        <f>$D$111*$D$113</f>
        <v>-0.23250008919295942</v>
      </c>
      <c r="E115">
        <f>IF(UPPER($G$13)="X",3.803125,0)</f>
        <v>3.803125</v>
      </c>
      <c r="F115">
        <v>0</v>
      </c>
      <c r="G115">
        <f t="shared" si="0"/>
        <v>-0.8842269017119738</v>
      </c>
      <c r="H115">
        <f t="shared" si="1"/>
        <v>0</v>
      </c>
      <c r="V115" t="s">
        <v>9</v>
      </c>
      <c r="X115">
        <f>$X$111*$X$113</f>
        <v>-0.23250008919295942</v>
      </c>
      <c r="Y115">
        <f>IF(UPPER($AA$13)="X",-3.16872226319222,0)</f>
        <v>-3.16872226319222</v>
      </c>
      <c r="Z115">
        <v>0</v>
      </c>
      <c r="AA115">
        <f t="shared" si="2"/>
        <v>0.7367282088199073</v>
      </c>
      <c r="AB115">
        <f t="shared" si="3"/>
        <v>0</v>
      </c>
    </row>
    <row r="116" spans="2:28" ht="12.75">
      <c r="B116" t="s">
        <v>10</v>
      </c>
      <c r="D116">
        <f>$D$112*$D$113</f>
        <v>0.625716832377295</v>
      </c>
      <c r="E116">
        <f>IF(UPPER($G$14)="X",3.053125,0)</f>
        <v>3.053125</v>
      </c>
      <c r="F116">
        <f>IF(UPPER($K$14)="X",1.28125,0)</f>
        <v>1.28125</v>
      </c>
      <c r="G116">
        <f t="shared" si="0"/>
        <v>1.910391703851929</v>
      </c>
      <c r="H116">
        <f t="shared" si="1"/>
        <v>0.8016996914834092</v>
      </c>
      <c r="V116" t="s">
        <v>10</v>
      </c>
      <c r="X116">
        <f>$X$112*$X$113</f>
        <v>0.625716832377295</v>
      </c>
      <c r="Y116">
        <f>IF(UPPER($AA$14)="X",-3.87582904437876,0)</f>
        <v>-3.87582904437876</v>
      </c>
      <c r="Z116">
        <v>0</v>
      </c>
      <c r="AA116">
        <f t="shared" si="2"/>
        <v>-2.425171472484596</v>
      </c>
      <c r="AB116">
        <f t="shared" si="3"/>
        <v>0</v>
      </c>
    </row>
    <row r="117" spans="2:28" ht="12.75">
      <c r="B117" t="s">
        <v>11</v>
      </c>
      <c r="D117">
        <f>$D$111*$D$112*$D$113</f>
        <v>0.23250008919295942</v>
      </c>
      <c r="E117">
        <v>0</v>
      </c>
      <c r="F117">
        <v>0</v>
      </c>
      <c r="G117">
        <f t="shared" si="0"/>
        <v>0</v>
      </c>
      <c r="H117">
        <f t="shared" si="1"/>
        <v>0</v>
      </c>
      <c r="V117" t="s">
        <v>11</v>
      </c>
      <c r="X117">
        <f>$X$111*$X$112*$X$113</f>
        <v>0.23250008919295942</v>
      </c>
      <c r="Y117">
        <f>IF(UPPER($AA$15)="X",2.90355722024726,0)</f>
        <v>2.90355722024726</v>
      </c>
      <c r="Z117">
        <v>0</v>
      </c>
      <c r="AA117">
        <f t="shared" si="2"/>
        <v>0.6750773126843493</v>
      </c>
      <c r="AB117">
        <f t="shared" si="3"/>
        <v>0</v>
      </c>
    </row>
    <row r="118" spans="2:28" ht="12.75">
      <c r="B118" t="s">
        <v>12</v>
      </c>
      <c r="D118">
        <f>$D$111*$D$111</f>
        <v>0.13806721718956622</v>
      </c>
      <c r="E118">
        <v>0</v>
      </c>
      <c r="F118">
        <v>0</v>
      </c>
      <c r="G118">
        <f t="shared" si="0"/>
        <v>0</v>
      </c>
      <c r="H118">
        <f t="shared" si="1"/>
        <v>0</v>
      </c>
      <c r="V118" t="s">
        <v>12</v>
      </c>
      <c r="X118">
        <f>$X$111*$X$111</f>
        <v>0.13806721718956622</v>
      </c>
      <c r="Y118">
        <v>0</v>
      </c>
      <c r="Z118">
        <v>0</v>
      </c>
      <c r="AA118">
        <f t="shared" si="2"/>
        <v>0</v>
      </c>
      <c r="AB118">
        <f t="shared" si="3"/>
        <v>0</v>
      </c>
    </row>
    <row r="119" spans="2:28" ht="12.75">
      <c r="B119" t="s">
        <v>13</v>
      </c>
      <c r="D119">
        <f>$D$112*$D$112</f>
        <v>1</v>
      </c>
      <c r="E119">
        <f>IF(UPPER($G$15)="X",-16.94375,0)</f>
        <v>-16.94375</v>
      </c>
      <c r="F119">
        <f>IF(UPPER($K$15)="X",-13.1079545454545,0)</f>
        <v>-13.1079545454545</v>
      </c>
      <c r="G119">
        <f t="shared" si="0"/>
        <v>-16.94375</v>
      </c>
      <c r="H119">
        <f t="shared" si="1"/>
        <v>-13.1079545454545</v>
      </c>
      <c r="V119" t="s">
        <v>13</v>
      </c>
      <c r="X119">
        <f>$X$112*$X$112</f>
        <v>1</v>
      </c>
      <c r="Y119">
        <v>0</v>
      </c>
      <c r="Z119">
        <f>IF(UPPER($AE$16)="X",0.883883476483185,0)</f>
        <v>0.883883476483185</v>
      </c>
      <c r="AA119">
        <f t="shared" si="2"/>
        <v>0</v>
      </c>
      <c r="AB119">
        <f t="shared" si="3"/>
        <v>0.883883476483185</v>
      </c>
    </row>
    <row r="120" spans="2:28" ht="12.75">
      <c r="B120" t="s">
        <v>14</v>
      </c>
      <c r="D120">
        <f>$D$113*$D$113</f>
        <v>0.3915215543202759</v>
      </c>
      <c r="E120">
        <f>IF(UPPER($G$16)="X",-5.81874999999999,0)</f>
        <v>-5.81874999999999</v>
      </c>
      <c r="F120">
        <f>IF(UPPER($K$16)="X",2.64204545454545,0)</f>
        <v>2.64204545454545</v>
      </c>
      <c r="G120">
        <f t="shared" si="0"/>
        <v>-2.2781660442011016</v>
      </c>
      <c r="H120">
        <f t="shared" si="1"/>
        <v>1.0344177429484545</v>
      </c>
      <c r="V120" t="s">
        <v>14</v>
      </c>
      <c r="X120">
        <f>$X$113*$X$113</f>
        <v>0.3915215543202759</v>
      </c>
      <c r="Y120">
        <v>0</v>
      </c>
      <c r="Z120">
        <v>0</v>
      </c>
      <c r="AA120">
        <f t="shared" si="2"/>
        <v>0</v>
      </c>
      <c r="AB120">
        <f t="shared" si="3"/>
        <v>0</v>
      </c>
    </row>
    <row r="121" spans="7:28" ht="12.75">
      <c r="G121">
        <f>SUM(G110:G120)</f>
        <v>70.26403938178723</v>
      </c>
      <c r="H121">
        <f>SUM(H110:H120)</f>
        <v>59.97399007055828</v>
      </c>
      <c r="AA121">
        <f>SUM(AA110:AA120)</f>
        <v>0.6516080896014101</v>
      </c>
      <c r="AB121">
        <f>SUM(AB110:AB120)</f>
        <v>0.5847342544454655</v>
      </c>
    </row>
  </sheetData>
  <sheetProtection sheet="1" objects="1" scenarios="1"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5" sqref="F5"/>
    </sheetView>
  </sheetViews>
  <sheetFormatPr defaultColWidth="9.140625" defaultRowHeight="12.75"/>
  <cols>
    <col min="1" max="1" width="5.00390625" style="0" bestFit="1" customWidth="1"/>
    <col min="2" max="4" width="30.7109375" style="0" customWidth="1"/>
  </cols>
  <sheetData>
    <row r="1" spans="2:4" ht="21">
      <c r="B1" s="57" t="s">
        <v>2</v>
      </c>
      <c r="C1" s="57" t="s">
        <v>4</v>
      </c>
      <c r="D1" s="57" t="s">
        <v>6</v>
      </c>
    </row>
    <row r="2" ht="124.5" customHeight="1">
      <c r="A2" s="58" t="s">
        <v>2</v>
      </c>
    </row>
    <row r="3" spans="1:8" ht="124.5" customHeight="1">
      <c r="A3" s="58" t="s">
        <v>4</v>
      </c>
      <c r="G3">
        <v>160</v>
      </c>
      <c r="H3">
        <v>55.315</v>
      </c>
    </row>
    <row r="4" spans="1:8" ht="124.5" customHeight="1">
      <c r="A4" s="58" t="s">
        <v>6</v>
      </c>
      <c r="G4">
        <v>170</v>
      </c>
      <c r="H4">
        <v>89.91666666666667</v>
      </c>
    </row>
    <row r="5" spans="7:8" ht="12.75">
      <c r="G5">
        <v>180</v>
      </c>
      <c r="H5">
        <v>102.4</v>
      </c>
    </row>
    <row r="11" spans="8:10" ht="12.75">
      <c r="H11" t="s">
        <v>60</v>
      </c>
      <c r="I11" t="s">
        <v>61</v>
      </c>
      <c r="J11" t="s">
        <v>62</v>
      </c>
    </row>
    <row r="12" spans="7:10" ht="12.75">
      <c r="G12">
        <v>160</v>
      </c>
      <c r="H12">
        <v>27.2875</v>
      </c>
      <c r="I12">
        <v>77.25</v>
      </c>
      <c r="J12">
        <v>72.375</v>
      </c>
    </row>
    <row r="13" spans="7:10" ht="12.75">
      <c r="G13">
        <v>170</v>
      </c>
      <c r="H13">
        <v>69.75</v>
      </c>
      <c r="I13">
        <v>94.1875</v>
      </c>
      <c r="J13">
        <v>93</v>
      </c>
    </row>
    <row r="14" spans="7:10" ht="12.75">
      <c r="G14">
        <v>180</v>
      </c>
      <c r="H14">
        <v>87.125</v>
      </c>
      <c r="I14">
        <v>117.75</v>
      </c>
      <c r="J14">
        <v>110</v>
      </c>
    </row>
    <row r="20" spans="8:10" ht="12.75">
      <c r="H20" t="s">
        <v>63</v>
      </c>
      <c r="I20" t="s">
        <v>64</v>
      </c>
      <c r="J20" t="s">
        <v>65</v>
      </c>
    </row>
    <row r="21" spans="7:10" ht="12.75">
      <c r="G21">
        <v>160</v>
      </c>
      <c r="H21">
        <v>48.25</v>
      </c>
      <c r="I21">
        <v>77.25</v>
      </c>
      <c r="J21">
        <v>51.4125</v>
      </c>
    </row>
    <row r="22" spans="7:10" ht="12.75">
      <c r="G22">
        <v>170</v>
      </c>
      <c r="H22">
        <v>84.75</v>
      </c>
      <c r="I22">
        <v>88.625</v>
      </c>
      <c r="J22">
        <v>100.25</v>
      </c>
    </row>
    <row r="23" spans="7:10" ht="12.75">
      <c r="G23">
        <v>180</v>
      </c>
      <c r="H23">
        <v>89.375</v>
      </c>
      <c r="I23">
        <v>117.75</v>
      </c>
      <c r="J23">
        <v>107.75</v>
      </c>
    </row>
    <row r="29" spans="8:10" ht="12.75">
      <c r="H29" t="s">
        <v>66</v>
      </c>
      <c r="I29" t="s">
        <v>67</v>
      </c>
      <c r="J29" t="s">
        <v>68</v>
      </c>
    </row>
    <row r="30" spans="7:10" ht="12.75">
      <c r="G30">
        <v>2</v>
      </c>
      <c r="H30">
        <v>27.2875</v>
      </c>
      <c r="I30">
        <v>69.75</v>
      </c>
      <c r="J30">
        <v>87.125</v>
      </c>
    </row>
    <row r="31" spans="7:10" ht="12.75">
      <c r="G31">
        <v>3</v>
      </c>
      <c r="H31">
        <v>77.25</v>
      </c>
      <c r="I31">
        <v>94.1875</v>
      </c>
      <c r="J31">
        <v>117.75</v>
      </c>
    </row>
    <row r="32" spans="7:10" ht="12.75">
      <c r="G32">
        <v>4</v>
      </c>
      <c r="H32">
        <v>72.375</v>
      </c>
      <c r="I32">
        <v>93</v>
      </c>
      <c r="J32">
        <v>110</v>
      </c>
    </row>
    <row r="39" spans="7:8" ht="12.75">
      <c r="G39">
        <v>2</v>
      </c>
      <c r="H39">
        <v>59.715</v>
      </c>
    </row>
    <row r="40" spans="7:8" ht="12.75">
      <c r="G40">
        <v>3</v>
      </c>
      <c r="H40">
        <v>95.29166666666667</v>
      </c>
    </row>
    <row r="41" spans="7:8" ht="12.75">
      <c r="G41">
        <v>4</v>
      </c>
      <c r="H41">
        <v>91.55</v>
      </c>
    </row>
    <row r="47" spans="8:10" ht="12.75">
      <c r="H47" t="s">
        <v>63</v>
      </c>
      <c r="I47" t="s">
        <v>64</v>
      </c>
      <c r="J47" t="s">
        <v>65</v>
      </c>
    </row>
    <row r="48" spans="7:10" ht="12.75">
      <c r="G48">
        <v>2</v>
      </c>
      <c r="H48">
        <v>54.875</v>
      </c>
      <c r="I48">
        <v>69.75</v>
      </c>
      <c r="J48">
        <v>59.5375</v>
      </c>
    </row>
    <row r="49" spans="7:10" ht="12.75">
      <c r="G49">
        <v>3</v>
      </c>
      <c r="H49">
        <v>84.75</v>
      </c>
      <c r="I49">
        <v>96.6875</v>
      </c>
      <c r="J49">
        <v>100.25</v>
      </c>
    </row>
    <row r="50" spans="7:10" ht="12.75">
      <c r="G50">
        <v>4</v>
      </c>
      <c r="H50">
        <v>82.75</v>
      </c>
      <c r="I50">
        <v>93</v>
      </c>
      <c r="J50">
        <v>99.625</v>
      </c>
    </row>
    <row r="56" spans="8:10" ht="12.75">
      <c r="H56" t="s">
        <v>66</v>
      </c>
      <c r="I56" t="s">
        <v>67</v>
      </c>
      <c r="J56" t="s">
        <v>68</v>
      </c>
    </row>
    <row r="57" spans="7:10" ht="12.75">
      <c r="G57">
        <v>0</v>
      </c>
      <c r="H57">
        <v>48.25</v>
      </c>
      <c r="I57">
        <v>84.75</v>
      </c>
      <c r="J57">
        <v>89.375</v>
      </c>
    </row>
    <row r="58" spans="7:10" ht="12.75">
      <c r="G58">
        <v>45</v>
      </c>
      <c r="H58">
        <v>77.25</v>
      </c>
      <c r="I58">
        <v>88.625</v>
      </c>
      <c r="J58">
        <v>117.75</v>
      </c>
    </row>
    <row r="59" spans="7:10" ht="12.75">
      <c r="G59">
        <v>90</v>
      </c>
      <c r="H59">
        <v>51.4125</v>
      </c>
      <c r="I59">
        <v>100.25</v>
      </c>
      <c r="J59">
        <v>107.75</v>
      </c>
    </row>
    <row r="65" spans="8:10" ht="12.75">
      <c r="H65" t="s">
        <v>60</v>
      </c>
      <c r="I65" t="s">
        <v>61</v>
      </c>
      <c r="J65" t="s">
        <v>62</v>
      </c>
    </row>
    <row r="66" spans="7:10" ht="12.75">
      <c r="G66">
        <v>0</v>
      </c>
      <c r="H66">
        <v>54.875</v>
      </c>
      <c r="I66">
        <v>84.75</v>
      </c>
      <c r="J66">
        <v>82.75</v>
      </c>
    </row>
    <row r="67" spans="7:10" ht="12.75">
      <c r="G67">
        <v>45</v>
      </c>
      <c r="H67">
        <v>69.75</v>
      </c>
      <c r="I67">
        <v>96.6875</v>
      </c>
      <c r="J67">
        <v>93</v>
      </c>
    </row>
    <row r="68" spans="7:10" ht="12.75">
      <c r="G68">
        <v>90</v>
      </c>
      <c r="H68">
        <v>59.5375</v>
      </c>
      <c r="I68">
        <v>100.25</v>
      </c>
      <c r="J68">
        <v>99.625</v>
      </c>
    </row>
    <row r="75" spans="7:8" ht="12.75">
      <c r="G75">
        <v>0</v>
      </c>
      <c r="H75">
        <v>72</v>
      </c>
    </row>
    <row r="76" spans="7:8" ht="12.75">
      <c r="G76">
        <v>45</v>
      </c>
      <c r="H76">
        <v>91.58333333333333</v>
      </c>
    </row>
    <row r="77" spans="7:8" ht="12.75">
      <c r="G77">
        <v>90</v>
      </c>
      <c r="H77">
        <v>83.715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T20"/>
  <sheetViews>
    <sheetView workbookViewId="0" topLeftCell="A1">
      <selection activeCell="A1" sqref="A1"/>
    </sheetView>
  </sheetViews>
  <sheetFormatPr defaultColWidth="9.140625" defaultRowHeight="12.75"/>
  <sheetData>
    <row r="1" spans="2:20" ht="12.75">
      <c r="B1">
        <v>0</v>
      </c>
      <c r="C1">
        <v>5</v>
      </c>
      <c r="D1">
        <v>10</v>
      </c>
      <c r="E1">
        <v>15</v>
      </c>
      <c r="F1">
        <v>20</v>
      </c>
      <c r="G1">
        <v>25</v>
      </c>
      <c r="H1">
        <v>30</v>
      </c>
      <c r="I1">
        <v>35</v>
      </c>
      <c r="J1">
        <v>40</v>
      </c>
      <c r="K1">
        <v>45</v>
      </c>
      <c r="L1">
        <v>50</v>
      </c>
      <c r="M1">
        <v>55</v>
      </c>
      <c r="N1">
        <v>60</v>
      </c>
      <c r="O1">
        <v>65</v>
      </c>
      <c r="P1">
        <v>70</v>
      </c>
      <c r="Q1">
        <v>75</v>
      </c>
      <c r="R1">
        <v>80</v>
      </c>
      <c r="S1">
        <v>85</v>
      </c>
      <c r="T1">
        <v>90</v>
      </c>
    </row>
    <row r="2" spans="1:20" ht="12.75">
      <c r="A2">
        <v>2</v>
      </c>
      <c r="B2">
        <v>54.76590909090909</v>
      </c>
      <c r="C2">
        <v>56.58378226711561</v>
      </c>
      <c r="D2">
        <v>58.28942199775534</v>
      </c>
      <c r="E2">
        <v>59.882828282828285</v>
      </c>
      <c r="F2">
        <v>61.364001122334464</v>
      </c>
      <c r="G2">
        <v>62.732940516273864</v>
      </c>
      <c r="H2">
        <v>63.98964646464647</v>
      </c>
      <c r="I2">
        <v>65.13411896745231</v>
      </c>
      <c r="J2">
        <v>66.16635802469136</v>
      </c>
      <c r="K2">
        <v>67.08636363636364</v>
      </c>
      <c r="L2">
        <v>67.89413580246915</v>
      </c>
      <c r="M2">
        <v>68.58967452300786</v>
      </c>
      <c r="N2">
        <v>69.1729797979798</v>
      </c>
      <c r="O2">
        <v>69.64405162738495</v>
      </c>
      <c r="P2">
        <v>70.00289001122334</v>
      </c>
      <c r="Q2">
        <v>70.24949494949496</v>
      </c>
      <c r="R2">
        <v>70.38386644219977</v>
      </c>
      <c r="S2">
        <v>70.40600448933783</v>
      </c>
      <c r="T2">
        <v>70.3159090909091</v>
      </c>
    </row>
    <row r="3" spans="1:20" ht="12.75">
      <c r="A3">
        <v>2.111111111111111</v>
      </c>
      <c r="B3">
        <v>59.61588103254769</v>
      </c>
      <c r="C3">
        <v>61.43375420875421</v>
      </c>
      <c r="D3">
        <v>63.13939393939394</v>
      </c>
      <c r="E3">
        <v>64.73280022446689</v>
      </c>
      <c r="F3">
        <v>66.21397306397306</v>
      </c>
      <c r="G3">
        <v>67.58291245791246</v>
      </c>
      <c r="H3">
        <v>68.83961840628507</v>
      </c>
      <c r="I3">
        <v>69.98409090909091</v>
      </c>
      <c r="J3">
        <v>71.01632996632996</v>
      </c>
      <c r="K3">
        <v>71.93633557800224</v>
      </c>
      <c r="L3">
        <v>72.74410774410775</v>
      </c>
      <c r="M3">
        <v>73.43964646464646</v>
      </c>
      <c r="N3">
        <v>74.0229517396184</v>
      </c>
      <c r="O3">
        <v>74.49402356902355</v>
      </c>
      <c r="P3">
        <v>74.85286195286194</v>
      </c>
      <c r="Q3">
        <v>75.09946689113356</v>
      </c>
      <c r="R3">
        <v>75.23383838383837</v>
      </c>
      <c r="S3">
        <v>75.25597643097643</v>
      </c>
      <c r="T3">
        <v>75.1658810325477</v>
      </c>
    </row>
    <row r="4" spans="1:20" ht="12.75">
      <c r="A4">
        <v>2.2222222222222223</v>
      </c>
      <c r="B4">
        <v>64.07892817059484</v>
      </c>
      <c r="C4">
        <v>65.89680134680135</v>
      </c>
      <c r="D4">
        <v>67.60244107744109</v>
      </c>
      <c r="E4">
        <v>69.19584736251403</v>
      </c>
      <c r="F4">
        <v>70.6770202020202</v>
      </c>
      <c r="G4">
        <v>72.0459595959596</v>
      </c>
      <c r="H4">
        <v>73.30266554433221</v>
      </c>
      <c r="I4">
        <v>74.44713804713805</v>
      </c>
      <c r="J4">
        <v>75.47937710437711</v>
      </c>
      <c r="K4">
        <v>76.39938271604939</v>
      </c>
      <c r="L4">
        <v>77.2071548821549</v>
      </c>
      <c r="M4">
        <v>77.9026936026936</v>
      </c>
      <c r="N4">
        <v>78.48599887766555</v>
      </c>
      <c r="O4">
        <v>78.9570707070707</v>
      </c>
      <c r="P4">
        <v>79.31590909090909</v>
      </c>
      <c r="Q4">
        <v>79.5625140291807</v>
      </c>
      <c r="R4">
        <v>79.69688552188552</v>
      </c>
      <c r="S4">
        <v>79.71902356902358</v>
      </c>
      <c r="T4">
        <v>79.62892817059485</v>
      </c>
    </row>
    <row r="5" spans="1:20" ht="12.75">
      <c r="A5">
        <v>2.3333333333333335</v>
      </c>
      <c r="B5">
        <v>68.15505050505051</v>
      </c>
      <c r="C5">
        <v>69.97292368125703</v>
      </c>
      <c r="D5">
        <v>71.67856341189676</v>
      </c>
      <c r="E5">
        <v>73.2719696969697</v>
      </c>
      <c r="F5">
        <v>74.75314253647588</v>
      </c>
      <c r="G5">
        <v>76.12208193041528</v>
      </c>
      <c r="H5">
        <v>77.37878787878789</v>
      </c>
      <c r="I5">
        <v>78.52326038159373</v>
      </c>
      <c r="J5">
        <v>79.55549943883278</v>
      </c>
      <c r="K5">
        <v>80.47550505050506</v>
      </c>
      <c r="L5">
        <v>81.28327721661057</v>
      </c>
      <c r="M5">
        <v>81.97881593714928</v>
      </c>
      <c r="N5">
        <v>82.56212121212123</v>
      </c>
      <c r="O5">
        <v>83.03319304152637</v>
      </c>
      <c r="P5">
        <v>83.39203142536476</v>
      </c>
      <c r="Q5">
        <v>83.63863636363638</v>
      </c>
      <c r="R5">
        <v>83.7730078563412</v>
      </c>
      <c r="S5">
        <v>83.79514590347925</v>
      </c>
      <c r="T5">
        <v>83.70505050505052</v>
      </c>
    </row>
    <row r="6" spans="1:20" ht="12.75">
      <c r="A6">
        <v>2.4444444444444446</v>
      </c>
      <c r="B6">
        <v>71.8442480359147</v>
      </c>
      <c r="C6">
        <v>73.66212121212122</v>
      </c>
      <c r="D6">
        <v>75.36776094276095</v>
      </c>
      <c r="E6">
        <v>76.9611672278339</v>
      </c>
      <c r="F6">
        <v>78.44234006734007</v>
      </c>
      <c r="G6">
        <v>79.81127946127947</v>
      </c>
      <c r="H6">
        <v>81.06798540965208</v>
      </c>
      <c r="I6">
        <v>82.21245791245792</v>
      </c>
      <c r="J6">
        <v>83.24469696969697</v>
      </c>
      <c r="K6">
        <v>84.16470258136926</v>
      </c>
      <c r="L6">
        <v>84.97247474747476</v>
      </c>
      <c r="M6">
        <v>85.66801346801347</v>
      </c>
      <c r="N6">
        <v>86.25131874298542</v>
      </c>
      <c r="O6">
        <v>86.72239057239057</v>
      </c>
      <c r="P6">
        <v>87.08122895622895</v>
      </c>
      <c r="Q6">
        <v>87.32783389450057</v>
      </c>
      <c r="R6">
        <v>87.46220538720539</v>
      </c>
      <c r="S6">
        <v>87.48434343434344</v>
      </c>
      <c r="T6">
        <v>87.39424803591471</v>
      </c>
    </row>
    <row r="7" spans="1:20" ht="12.75">
      <c r="A7">
        <v>2.5555555555555554</v>
      </c>
      <c r="B7">
        <v>75.14652076318741</v>
      </c>
      <c r="C7">
        <v>76.96439393939393</v>
      </c>
      <c r="D7">
        <v>78.67003367003366</v>
      </c>
      <c r="E7">
        <v>80.2634399551066</v>
      </c>
      <c r="F7">
        <v>81.74461279461278</v>
      </c>
      <c r="G7">
        <v>83.11355218855218</v>
      </c>
      <c r="H7">
        <v>84.37025813692479</v>
      </c>
      <c r="I7">
        <v>85.51473063973063</v>
      </c>
      <c r="J7">
        <v>86.54696969696968</v>
      </c>
      <c r="K7">
        <v>87.46697530864196</v>
      </c>
      <c r="L7">
        <v>88.27474747474747</v>
      </c>
      <c r="M7">
        <v>88.97028619528618</v>
      </c>
      <c r="N7">
        <v>89.55359147025813</v>
      </c>
      <c r="O7">
        <v>90.02466329966327</v>
      </c>
      <c r="P7">
        <v>90.38350168350166</v>
      </c>
      <c r="Q7">
        <v>90.63010662177328</v>
      </c>
      <c r="R7">
        <v>90.7644781144781</v>
      </c>
      <c r="S7">
        <v>90.78661616161615</v>
      </c>
      <c r="T7">
        <v>90.69652076318742</v>
      </c>
    </row>
    <row r="8" spans="1:20" ht="12.75">
      <c r="A8">
        <v>2.6666666666666665</v>
      </c>
      <c r="B8">
        <v>78.06186868686868</v>
      </c>
      <c r="C8">
        <v>79.8797418630752</v>
      </c>
      <c r="D8">
        <v>81.58538159371493</v>
      </c>
      <c r="E8">
        <v>83.17878787878787</v>
      </c>
      <c r="F8">
        <v>84.65996071829404</v>
      </c>
      <c r="G8">
        <v>86.02890011223344</v>
      </c>
      <c r="H8">
        <v>87.28560606060606</v>
      </c>
      <c r="I8">
        <v>88.4300785634119</v>
      </c>
      <c r="J8">
        <v>89.46231762065095</v>
      </c>
      <c r="K8">
        <v>90.38232323232323</v>
      </c>
      <c r="L8">
        <v>91.19009539842874</v>
      </c>
      <c r="M8">
        <v>91.88563411896745</v>
      </c>
      <c r="N8">
        <v>92.4689393939394</v>
      </c>
      <c r="O8">
        <v>92.94001122334454</v>
      </c>
      <c r="P8">
        <v>93.29884960718293</v>
      </c>
      <c r="Q8">
        <v>93.54545454545455</v>
      </c>
      <c r="R8">
        <v>93.67982603815936</v>
      </c>
      <c r="S8">
        <v>93.70196408529742</v>
      </c>
      <c r="T8">
        <v>93.61186868686869</v>
      </c>
    </row>
    <row r="9" spans="1:20" ht="12.75">
      <c r="A9">
        <v>2.7777777777777777</v>
      </c>
      <c r="B9">
        <v>80.59029180695848</v>
      </c>
      <c r="C9">
        <v>82.408164983165</v>
      </c>
      <c r="D9">
        <v>84.11380471380473</v>
      </c>
      <c r="E9">
        <v>85.70721099887767</v>
      </c>
      <c r="F9">
        <v>87.18838383838384</v>
      </c>
      <c r="G9">
        <v>88.55732323232324</v>
      </c>
      <c r="H9">
        <v>89.81402918069585</v>
      </c>
      <c r="I9">
        <v>90.9585016835017</v>
      </c>
      <c r="J9">
        <v>91.99074074074075</v>
      </c>
      <c r="K9">
        <v>92.91074635241303</v>
      </c>
      <c r="L9">
        <v>93.71851851851854</v>
      </c>
      <c r="M9">
        <v>94.41405723905724</v>
      </c>
      <c r="N9">
        <v>94.99736251402919</v>
      </c>
      <c r="O9">
        <v>95.46843434343434</v>
      </c>
      <c r="P9">
        <v>95.82727272727273</v>
      </c>
      <c r="Q9">
        <v>96.07387766554434</v>
      </c>
      <c r="R9">
        <v>96.20824915824916</v>
      </c>
      <c r="S9">
        <v>96.23038720538722</v>
      </c>
      <c r="T9">
        <v>96.14029180695849</v>
      </c>
    </row>
    <row r="10" spans="1:20" ht="12.75">
      <c r="A10">
        <v>2.888888888888889</v>
      </c>
      <c r="B10">
        <v>82.73179012345678</v>
      </c>
      <c r="C10">
        <v>84.5496632996633</v>
      </c>
      <c r="D10">
        <v>86.25530303030303</v>
      </c>
      <c r="E10">
        <v>87.84870931537597</v>
      </c>
      <c r="F10">
        <v>89.32988215488214</v>
      </c>
      <c r="G10">
        <v>90.69882154882154</v>
      </c>
      <c r="H10">
        <v>91.95552749719415</v>
      </c>
      <c r="I10">
        <v>93.1</v>
      </c>
      <c r="J10">
        <v>94.13223905723905</v>
      </c>
      <c r="K10">
        <v>95.05224466891133</v>
      </c>
      <c r="L10">
        <v>95.86001683501684</v>
      </c>
      <c r="M10">
        <v>96.55555555555554</v>
      </c>
      <c r="N10">
        <v>97.13886083052749</v>
      </c>
      <c r="O10">
        <v>97.60993265993264</v>
      </c>
      <c r="P10">
        <v>97.96877104377103</v>
      </c>
      <c r="Q10">
        <v>98.21537598204264</v>
      </c>
      <c r="R10">
        <v>98.34974747474746</v>
      </c>
      <c r="S10">
        <v>98.37188552188552</v>
      </c>
      <c r="T10">
        <v>98.28179012345679</v>
      </c>
    </row>
    <row r="11" spans="1:20" ht="12.75">
      <c r="A11">
        <v>3</v>
      </c>
      <c r="B11">
        <v>84.48636363636363</v>
      </c>
      <c r="C11">
        <v>86.30423681257015</v>
      </c>
      <c r="D11">
        <v>88.00987654320988</v>
      </c>
      <c r="E11">
        <v>89.60328282828283</v>
      </c>
      <c r="F11">
        <v>91.084455667789</v>
      </c>
      <c r="G11">
        <v>92.4533950617284</v>
      </c>
      <c r="H11">
        <v>93.71010101010101</v>
      </c>
      <c r="I11">
        <v>94.85457351290685</v>
      </c>
      <c r="J11">
        <v>95.8868125701459</v>
      </c>
      <c r="K11">
        <v>96.80681818181819</v>
      </c>
      <c r="L11">
        <v>97.6145903479237</v>
      </c>
      <c r="M11">
        <v>98.3101290684624</v>
      </c>
      <c r="N11">
        <v>98.89343434343435</v>
      </c>
      <c r="O11">
        <v>99.3645061728395</v>
      </c>
      <c r="P11">
        <v>99.72334455667789</v>
      </c>
      <c r="Q11">
        <v>99.9699494949495</v>
      </c>
      <c r="R11">
        <v>100.10432098765432</v>
      </c>
      <c r="S11">
        <v>100.12645903479238</v>
      </c>
      <c r="T11">
        <v>100.03636363636365</v>
      </c>
    </row>
    <row r="12" spans="1:20" ht="12.75">
      <c r="A12">
        <v>3.111111111111111</v>
      </c>
      <c r="B12">
        <v>85.85401234567901</v>
      </c>
      <c r="C12">
        <v>87.67188552188553</v>
      </c>
      <c r="D12">
        <v>89.37752525252526</v>
      </c>
      <c r="E12">
        <v>90.9709315375982</v>
      </c>
      <c r="F12">
        <v>92.45210437710438</v>
      </c>
      <c r="G12">
        <v>93.82104377104378</v>
      </c>
      <c r="H12">
        <v>95.07774971941639</v>
      </c>
      <c r="I12">
        <v>96.22222222222223</v>
      </c>
      <c r="J12">
        <v>97.25446127946128</v>
      </c>
      <c r="K12">
        <v>98.17446689113356</v>
      </c>
      <c r="L12">
        <v>98.98223905723907</v>
      </c>
      <c r="M12">
        <v>99.67777777777778</v>
      </c>
      <c r="N12">
        <v>100.26108305274973</v>
      </c>
      <c r="O12">
        <v>100.73215488215487</v>
      </c>
      <c r="P12">
        <v>101.09099326599326</v>
      </c>
      <c r="Q12">
        <v>101.33759820426488</v>
      </c>
      <c r="R12">
        <v>101.4719696969697</v>
      </c>
      <c r="S12">
        <v>101.49410774410775</v>
      </c>
      <c r="T12">
        <v>101.40401234567902</v>
      </c>
    </row>
    <row r="13" spans="1:20" ht="12.75">
      <c r="A13">
        <v>3.2222222222222223</v>
      </c>
      <c r="B13">
        <v>86.83473625140292</v>
      </c>
      <c r="C13">
        <v>88.65260942760943</v>
      </c>
      <c r="D13">
        <v>90.35824915824917</v>
      </c>
      <c r="E13">
        <v>91.95165544332211</v>
      </c>
      <c r="F13">
        <v>93.43282828282828</v>
      </c>
      <c r="G13">
        <v>94.80176767676768</v>
      </c>
      <c r="H13">
        <v>96.0584736251403</v>
      </c>
      <c r="I13">
        <v>97.20294612794613</v>
      </c>
      <c r="J13">
        <v>98.23518518518519</v>
      </c>
      <c r="K13">
        <v>99.15519079685747</v>
      </c>
      <c r="L13">
        <v>99.96296296296298</v>
      </c>
      <c r="M13">
        <v>100.65850168350168</v>
      </c>
      <c r="N13">
        <v>101.24180695847363</v>
      </c>
      <c r="O13">
        <v>101.71287878787878</v>
      </c>
      <c r="P13">
        <v>102.07171717171717</v>
      </c>
      <c r="Q13">
        <v>102.31832210998878</v>
      </c>
      <c r="R13">
        <v>102.4526936026936</v>
      </c>
      <c r="S13">
        <v>102.47483164983166</v>
      </c>
      <c r="T13">
        <v>102.38473625140293</v>
      </c>
    </row>
    <row r="14" spans="1:20" ht="12.75">
      <c r="A14">
        <v>3.333333333333333</v>
      </c>
      <c r="B14">
        <v>87.42853535353534</v>
      </c>
      <c r="C14">
        <v>89.24640852974186</v>
      </c>
      <c r="D14">
        <v>90.95204826038159</v>
      </c>
      <c r="E14">
        <v>92.54545454545453</v>
      </c>
      <c r="F14">
        <v>94.0266273849607</v>
      </c>
      <c r="G14">
        <v>95.3955667789001</v>
      </c>
      <c r="H14">
        <v>96.65227272727272</v>
      </c>
      <c r="I14">
        <v>97.79674523007856</v>
      </c>
      <c r="J14">
        <v>98.82898428731761</v>
      </c>
      <c r="K14">
        <v>99.74898989898989</v>
      </c>
      <c r="L14">
        <v>100.5567620650954</v>
      </c>
      <c r="M14">
        <v>101.2523007856341</v>
      </c>
      <c r="N14">
        <v>101.83560606060605</v>
      </c>
      <c r="O14">
        <v>102.3066778900112</v>
      </c>
      <c r="P14">
        <v>102.66551627384959</v>
      </c>
      <c r="Q14">
        <v>102.9121212121212</v>
      </c>
      <c r="R14">
        <v>103.04649270482602</v>
      </c>
      <c r="S14">
        <v>103.06863075196408</v>
      </c>
      <c r="T14">
        <v>102.97853535353535</v>
      </c>
    </row>
    <row r="15" spans="1:20" ht="12.75">
      <c r="A15">
        <v>3.444444444444444</v>
      </c>
      <c r="B15">
        <v>87.63540965207632</v>
      </c>
      <c r="C15">
        <v>89.45328282828284</v>
      </c>
      <c r="D15">
        <v>91.15892255892257</v>
      </c>
      <c r="E15">
        <v>92.75232884399551</v>
      </c>
      <c r="F15">
        <v>94.23350168350169</v>
      </c>
      <c r="G15">
        <v>95.60244107744109</v>
      </c>
      <c r="H15">
        <v>96.8591470258137</v>
      </c>
      <c r="I15">
        <v>98.00361952861954</v>
      </c>
      <c r="J15">
        <v>99.03585858585859</v>
      </c>
      <c r="K15">
        <v>99.95586419753087</v>
      </c>
      <c r="L15">
        <v>100.76363636363638</v>
      </c>
      <c r="M15">
        <v>101.45917508417509</v>
      </c>
      <c r="N15">
        <v>102.04248035914704</v>
      </c>
      <c r="O15">
        <v>102.51355218855218</v>
      </c>
      <c r="P15">
        <v>102.87239057239057</v>
      </c>
      <c r="Q15">
        <v>103.11899551066219</v>
      </c>
      <c r="R15">
        <v>103.253367003367</v>
      </c>
      <c r="S15">
        <v>103.27550505050506</v>
      </c>
      <c r="T15">
        <v>103.18540965207633</v>
      </c>
    </row>
    <row r="16" spans="1:20" ht="12.75">
      <c r="A16">
        <v>3.5555555555555554</v>
      </c>
      <c r="B16">
        <v>87.45535914702582</v>
      </c>
      <c r="C16">
        <v>89.27323232323234</v>
      </c>
      <c r="D16">
        <v>90.97887205387207</v>
      </c>
      <c r="E16">
        <v>92.57227833894501</v>
      </c>
      <c r="F16">
        <v>94.05345117845118</v>
      </c>
      <c r="G16">
        <v>95.42239057239058</v>
      </c>
      <c r="H16">
        <v>96.6790965207632</v>
      </c>
      <c r="I16">
        <v>97.82356902356904</v>
      </c>
      <c r="J16">
        <v>98.85580808080809</v>
      </c>
      <c r="K16">
        <v>99.77581369248037</v>
      </c>
      <c r="L16">
        <v>100.58358585858588</v>
      </c>
      <c r="M16">
        <v>101.27912457912458</v>
      </c>
      <c r="N16">
        <v>101.86242985409653</v>
      </c>
      <c r="O16">
        <v>102.33350168350168</v>
      </c>
      <c r="P16">
        <v>102.69234006734007</v>
      </c>
      <c r="Q16">
        <v>102.93894500561169</v>
      </c>
      <c r="R16">
        <v>103.0733164983165</v>
      </c>
      <c r="S16">
        <v>103.09545454545456</v>
      </c>
      <c r="T16">
        <v>103.00535914702583</v>
      </c>
    </row>
    <row r="17" spans="1:20" ht="12.75">
      <c r="A17">
        <v>3.6666666666666665</v>
      </c>
      <c r="B17">
        <v>86.88838383838383</v>
      </c>
      <c r="C17">
        <v>88.70625701459035</v>
      </c>
      <c r="D17">
        <v>90.41189674523008</v>
      </c>
      <c r="E17">
        <v>92.00530303030303</v>
      </c>
      <c r="F17">
        <v>93.4864758698092</v>
      </c>
      <c r="G17">
        <v>94.8554152637486</v>
      </c>
      <c r="H17">
        <v>96.11212121212121</v>
      </c>
      <c r="I17">
        <v>97.25659371492705</v>
      </c>
      <c r="J17">
        <v>98.2888327721661</v>
      </c>
      <c r="K17">
        <v>99.20883838383838</v>
      </c>
      <c r="L17">
        <v>100.01661054994389</v>
      </c>
      <c r="M17">
        <v>100.7121492704826</v>
      </c>
      <c r="N17">
        <v>101.29545454545455</v>
      </c>
      <c r="O17">
        <v>101.7665263748597</v>
      </c>
      <c r="P17">
        <v>102.12536475869808</v>
      </c>
      <c r="Q17">
        <v>102.3719696969697</v>
      </c>
      <c r="R17">
        <v>102.50634118967452</v>
      </c>
      <c r="S17">
        <v>102.52847923681257</v>
      </c>
      <c r="T17">
        <v>102.43838383838384</v>
      </c>
    </row>
    <row r="18" spans="1:20" ht="12.75">
      <c r="A18">
        <v>3.7777777777777777</v>
      </c>
      <c r="B18">
        <v>85.93448372615039</v>
      </c>
      <c r="C18">
        <v>87.75235690235691</v>
      </c>
      <c r="D18">
        <v>89.45799663299664</v>
      </c>
      <c r="E18">
        <v>91.05140291806958</v>
      </c>
      <c r="F18">
        <v>92.53257575757576</v>
      </c>
      <c r="G18">
        <v>93.90151515151516</v>
      </c>
      <c r="H18">
        <v>95.15822109988777</v>
      </c>
      <c r="I18">
        <v>96.30269360269361</v>
      </c>
      <c r="J18">
        <v>97.33493265993266</v>
      </c>
      <c r="K18">
        <v>98.25493827160494</v>
      </c>
      <c r="L18">
        <v>99.06271043771045</v>
      </c>
      <c r="M18">
        <v>99.75824915824916</v>
      </c>
      <c r="N18">
        <v>100.3415544332211</v>
      </c>
      <c r="O18">
        <v>100.81262626262625</v>
      </c>
      <c r="P18">
        <v>101.17146464646464</v>
      </c>
      <c r="Q18">
        <v>101.41806958473626</v>
      </c>
      <c r="R18">
        <v>101.55244107744107</v>
      </c>
      <c r="S18">
        <v>101.57457912457913</v>
      </c>
      <c r="T18">
        <v>101.4844837261504</v>
      </c>
    </row>
    <row r="19" spans="1:20" ht="12.75">
      <c r="A19">
        <v>3.888888888888889</v>
      </c>
      <c r="B19">
        <v>84.59365881032548</v>
      </c>
      <c r="C19">
        <v>86.411531986532</v>
      </c>
      <c r="D19">
        <v>88.11717171717173</v>
      </c>
      <c r="E19">
        <v>89.71057800224467</v>
      </c>
      <c r="F19">
        <v>91.19175084175085</v>
      </c>
      <c r="G19">
        <v>92.56069023569025</v>
      </c>
      <c r="H19">
        <v>93.81739618406286</v>
      </c>
      <c r="I19">
        <v>94.9618686868687</v>
      </c>
      <c r="J19">
        <v>95.99410774410775</v>
      </c>
      <c r="K19">
        <v>96.91411335578003</v>
      </c>
      <c r="L19">
        <v>97.72188552188554</v>
      </c>
      <c r="M19">
        <v>98.41742424242425</v>
      </c>
      <c r="N19">
        <v>99.0007295173962</v>
      </c>
      <c r="O19">
        <v>99.47180134680134</v>
      </c>
      <c r="P19">
        <v>99.83063973063973</v>
      </c>
      <c r="Q19">
        <v>100.07724466891135</v>
      </c>
      <c r="R19">
        <v>100.21161616161616</v>
      </c>
      <c r="S19">
        <v>100.23375420875422</v>
      </c>
      <c r="T19">
        <v>100.14365881032549</v>
      </c>
    </row>
    <row r="20" spans="1:20" ht="12.75">
      <c r="A20">
        <v>4</v>
      </c>
      <c r="B20">
        <v>82.86590909090908</v>
      </c>
      <c r="C20">
        <v>84.6837822671156</v>
      </c>
      <c r="D20">
        <v>86.38942199775533</v>
      </c>
      <c r="E20">
        <v>87.98282828282828</v>
      </c>
      <c r="F20">
        <v>89.46400112233445</v>
      </c>
      <c r="G20">
        <v>90.83294051627385</v>
      </c>
      <c r="H20">
        <v>92.08964646464646</v>
      </c>
      <c r="I20">
        <v>93.2341189674523</v>
      </c>
      <c r="J20">
        <v>94.26635802469136</v>
      </c>
      <c r="K20">
        <v>95.18636363636364</v>
      </c>
      <c r="L20">
        <v>95.99413580246915</v>
      </c>
      <c r="M20">
        <v>96.68967452300785</v>
      </c>
      <c r="N20">
        <v>97.2729797979798</v>
      </c>
      <c r="O20">
        <v>97.74405162738495</v>
      </c>
      <c r="P20">
        <v>98.10289001122334</v>
      </c>
      <c r="Q20">
        <v>98.34949494949495</v>
      </c>
      <c r="R20">
        <v>98.48386644219977</v>
      </c>
      <c r="S20">
        <v>98.50600448933783</v>
      </c>
      <c r="T20">
        <v>98.4159090909091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20"/>
  <sheetViews>
    <sheetView workbookViewId="0" topLeftCell="A1">
      <selection activeCell="A1" sqref="A1"/>
    </sheetView>
  </sheetViews>
  <sheetFormatPr defaultColWidth="9.140625" defaultRowHeight="12.75"/>
  <sheetData>
    <row r="1" spans="2:20" ht="12.75">
      <c r="B1">
        <v>0</v>
      </c>
      <c r="C1">
        <v>5</v>
      </c>
      <c r="D1">
        <v>10</v>
      </c>
      <c r="E1">
        <v>15</v>
      </c>
      <c r="F1">
        <v>20</v>
      </c>
      <c r="G1">
        <v>25</v>
      </c>
      <c r="H1">
        <v>30</v>
      </c>
      <c r="I1">
        <v>35</v>
      </c>
      <c r="J1">
        <v>40</v>
      </c>
      <c r="K1">
        <v>45</v>
      </c>
      <c r="L1">
        <v>50</v>
      </c>
      <c r="M1">
        <v>55</v>
      </c>
      <c r="N1">
        <v>60</v>
      </c>
      <c r="O1">
        <v>65</v>
      </c>
      <c r="P1">
        <v>70</v>
      </c>
      <c r="Q1">
        <v>75</v>
      </c>
      <c r="R1">
        <v>80</v>
      </c>
      <c r="S1">
        <v>85</v>
      </c>
      <c r="T1">
        <v>90</v>
      </c>
    </row>
    <row r="2" spans="1:20" ht="12.75">
      <c r="A2">
        <v>2</v>
      </c>
      <c r="B2">
        <v>54.76590909090909</v>
      </c>
      <c r="C2">
        <v>56.58378226711561</v>
      </c>
      <c r="D2">
        <v>58.28942199775534</v>
      </c>
      <c r="E2">
        <v>59.882828282828285</v>
      </c>
      <c r="F2">
        <v>61.364001122334464</v>
      </c>
      <c r="G2">
        <v>62.732940516273864</v>
      </c>
      <c r="H2">
        <v>63.98964646464647</v>
      </c>
      <c r="I2">
        <v>65.13411896745231</v>
      </c>
      <c r="J2">
        <v>66.16635802469136</v>
      </c>
      <c r="K2">
        <v>67.08636363636364</v>
      </c>
      <c r="L2">
        <v>67.89413580246915</v>
      </c>
      <c r="M2">
        <v>68.58967452300786</v>
      </c>
      <c r="N2">
        <v>69.1729797979798</v>
      </c>
      <c r="O2">
        <v>69.64405162738495</v>
      </c>
      <c r="P2">
        <v>70.00289001122334</v>
      </c>
      <c r="Q2">
        <v>70.24949494949496</v>
      </c>
      <c r="R2">
        <v>70.38386644219977</v>
      </c>
      <c r="S2">
        <v>70.40600448933783</v>
      </c>
      <c r="T2">
        <v>70.3159090909091</v>
      </c>
    </row>
    <row r="3" spans="1:20" ht="12.75">
      <c r="A3">
        <v>2.111111111111111</v>
      </c>
      <c r="B3">
        <v>59.61588103254769</v>
      </c>
      <c r="C3">
        <v>61.43375420875421</v>
      </c>
      <c r="D3">
        <v>63.13939393939394</v>
      </c>
      <c r="E3">
        <v>64.73280022446689</v>
      </c>
      <c r="F3">
        <v>66.21397306397306</v>
      </c>
      <c r="G3">
        <v>67.58291245791246</v>
      </c>
      <c r="H3">
        <v>68.83961840628507</v>
      </c>
      <c r="I3">
        <v>69.98409090909091</v>
      </c>
      <c r="J3">
        <v>71.01632996632996</v>
      </c>
      <c r="K3">
        <v>71.93633557800224</v>
      </c>
      <c r="L3">
        <v>72.74410774410775</v>
      </c>
      <c r="M3">
        <v>73.43964646464646</v>
      </c>
      <c r="N3">
        <v>74.0229517396184</v>
      </c>
      <c r="O3">
        <v>74.49402356902355</v>
      </c>
      <c r="P3">
        <v>74.85286195286194</v>
      </c>
      <c r="Q3">
        <v>75.09946689113356</v>
      </c>
      <c r="R3">
        <v>75.23383838383837</v>
      </c>
      <c r="S3">
        <v>75.25597643097643</v>
      </c>
      <c r="T3">
        <v>75.1658810325477</v>
      </c>
    </row>
    <row r="4" spans="1:20" ht="12.75">
      <c r="A4">
        <v>2.2222222222222223</v>
      </c>
      <c r="B4">
        <v>64.07892817059484</v>
      </c>
      <c r="C4">
        <v>65.89680134680135</v>
      </c>
      <c r="D4">
        <v>67.60244107744109</v>
      </c>
      <c r="E4">
        <v>69.19584736251403</v>
      </c>
      <c r="F4">
        <v>70.6770202020202</v>
      </c>
      <c r="G4">
        <v>72.0459595959596</v>
      </c>
      <c r="H4">
        <v>73.30266554433221</v>
      </c>
      <c r="I4">
        <v>74.44713804713805</v>
      </c>
      <c r="J4">
        <v>75.47937710437711</v>
      </c>
      <c r="K4">
        <v>76.39938271604939</v>
      </c>
      <c r="L4">
        <v>77.2071548821549</v>
      </c>
      <c r="M4">
        <v>77.9026936026936</v>
      </c>
      <c r="N4">
        <v>78.48599887766555</v>
      </c>
      <c r="O4">
        <v>78.9570707070707</v>
      </c>
      <c r="P4">
        <v>79.31590909090909</v>
      </c>
      <c r="Q4">
        <v>79.5625140291807</v>
      </c>
      <c r="R4">
        <v>79.69688552188552</v>
      </c>
      <c r="S4">
        <v>79.71902356902358</v>
      </c>
      <c r="T4">
        <v>79.62892817059485</v>
      </c>
    </row>
    <row r="5" spans="1:20" ht="12.75">
      <c r="A5">
        <v>2.3333333333333335</v>
      </c>
      <c r="B5">
        <v>68.15505050505051</v>
      </c>
      <c r="C5">
        <v>69.97292368125703</v>
      </c>
      <c r="D5">
        <v>71.67856341189676</v>
      </c>
      <c r="E5">
        <v>73.2719696969697</v>
      </c>
      <c r="F5">
        <v>74.75314253647588</v>
      </c>
      <c r="G5">
        <v>76.12208193041528</v>
      </c>
      <c r="H5">
        <v>77.37878787878789</v>
      </c>
      <c r="I5">
        <v>78.52326038159373</v>
      </c>
      <c r="J5">
        <v>79.55549943883278</v>
      </c>
      <c r="K5">
        <v>80.47550505050506</v>
      </c>
      <c r="L5">
        <v>81.28327721661057</v>
      </c>
      <c r="M5">
        <v>81.97881593714928</v>
      </c>
      <c r="N5">
        <v>82.56212121212123</v>
      </c>
      <c r="O5">
        <v>83.03319304152637</v>
      </c>
      <c r="P5">
        <v>83.39203142536476</v>
      </c>
      <c r="Q5">
        <v>83.63863636363638</v>
      </c>
      <c r="R5">
        <v>83.7730078563412</v>
      </c>
      <c r="S5">
        <v>83.79514590347925</v>
      </c>
      <c r="T5">
        <v>83.70505050505052</v>
      </c>
    </row>
    <row r="6" spans="1:20" ht="12.75">
      <c r="A6">
        <v>2.4444444444444446</v>
      </c>
      <c r="B6">
        <v>71.8442480359147</v>
      </c>
      <c r="C6">
        <v>73.66212121212122</v>
      </c>
      <c r="D6">
        <v>75.36776094276095</v>
      </c>
      <c r="E6">
        <v>76.9611672278339</v>
      </c>
      <c r="F6">
        <v>78.44234006734007</v>
      </c>
      <c r="G6">
        <v>79.81127946127947</v>
      </c>
      <c r="H6">
        <v>81.06798540965208</v>
      </c>
      <c r="I6">
        <v>82.21245791245792</v>
      </c>
      <c r="J6">
        <v>83.24469696969697</v>
      </c>
      <c r="K6">
        <v>84.16470258136926</v>
      </c>
      <c r="L6">
        <v>84.97247474747476</v>
      </c>
      <c r="M6">
        <v>85.66801346801347</v>
      </c>
      <c r="N6">
        <v>86.25131874298542</v>
      </c>
      <c r="O6">
        <v>86.72239057239057</v>
      </c>
      <c r="P6">
        <v>87.08122895622895</v>
      </c>
      <c r="Q6">
        <v>87.32783389450057</v>
      </c>
      <c r="R6">
        <v>87.46220538720539</v>
      </c>
      <c r="S6">
        <v>87.48434343434344</v>
      </c>
      <c r="T6">
        <v>87.39424803591471</v>
      </c>
    </row>
    <row r="7" spans="1:20" ht="12.75">
      <c r="A7">
        <v>2.5555555555555554</v>
      </c>
      <c r="B7">
        <v>75.14652076318741</v>
      </c>
      <c r="C7">
        <v>76.96439393939393</v>
      </c>
      <c r="D7">
        <v>78.67003367003366</v>
      </c>
      <c r="E7">
        <v>80.2634399551066</v>
      </c>
      <c r="F7">
        <v>81.74461279461278</v>
      </c>
      <c r="G7">
        <v>83.11355218855218</v>
      </c>
      <c r="H7">
        <v>84.37025813692479</v>
      </c>
      <c r="I7">
        <v>85.51473063973063</v>
      </c>
      <c r="J7">
        <v>86.54696969696968</v>
      </c>
      <c r="K7">
        <v>87.46697530864196</v>
      </c>
      <c r="L7">
        <v>88.27474747474747</v>
      </c>
      <c r="M7">
        <v>88.97028619528618</v>
      </c>
      <c r="N7">
        <v>89.55359147025813</v>
      </c>
      <c r="O7">
        <v>90.02466329966327</v>
      </c>
      <c r="P7">
        <v>90.38350168350166</v>
      </c>
      <c r="Q7">
        <v>90.63010662177328</v>
      </c>
      <c r="R7">
        <v>90.7644781144781</v>
      </c>
      <c r="S7">
        <v>90.78661616161615</v>
      </c>
      <c r="T7">
        <v>90.69652076318742</v>
      </c>
    </row>
    <row r="8" spans="1:20" ht="12.75">
      <c r="A8">
        <v>2.6666666666666665</v>
      </c>
      <c r="B8">
        <v>78.06186868686868</v>
      </c>
      <c r="C8">
        <v>79.8797418630752</v>
      </c>
      <c r="D8">
        <v>81.58538159371493</v>
      </c>
      <c r="E8">
        <v>83.17878787878787</v>
      </c>
      <c r="F8">
        <v>84.65996071829404</v>
      </c>
      <c r="G8">
        <v>86.02890011223344</v>
      </c>
      <c r="H8">
        <v>87.28560606060606</v>
      </c>
      <c r="I8">
        <v>88.4300785634119</v>
      </c>
      <c r="J8">
        <v>89.46231762065095</v>
      </c>
      <c r="K8">
        <v>90.38232323232323</v>
      </c>
      <c r="L8">
        <v>91.19009539842874</v>
      </c>
      <c r="M8">
        <v>91.88563411896745</v>
      </c>
      <c r="N8">
        <v>92.4689393939394</v>
      </c>
      <c r="O8">
        <v>92.94001122334454</v>
      </c>
      <c r="P8">
        <v>93.29884960718293</v>
      </c>
      <c r="Q8">
        <v>93.54545454545455</v>
      </c>
      <c r="R8">
        <v>93.67982603815936</v>
      </c>
      <c r="S8">
        <v>93.70196408529742</v>
      </c>
      <c r="T8">
        <v>93.61186868686869</v>
      </c>
    </row>
    <row r="9" spans="1:20" ht="12.75">
      <c r="A9">
        <v>2.7777777777777777</v>
      </c>
      <c r="B9">
        <v>80.59029180695848</v>
      </c>
      <c r="C9">
        <v>82.408164983165</v>
      </c>
      <c r="D9">
        <v>84.11380471380473</v>
      </c>
      <c r="E9">
        <v>85.70721099887767</v>
      </c>
      <c r="F9">
        <v>87.18838383838384</v>
      </c>
      <c r="G9">
        <v>88.55732323232324</v>
      </c>
      <c r="H9">
        <v>89.81402918069585</v>
      </c>
      <c r="I9">
        <v>90.9585016835017</v>
      </c>
      <c r="J9">
        <v>91.99074074074075</v>
      </c>
      <c r="K9">
        <v>92.91074635241303</v>
      </c>
      <c r="L9">
        <v>93.71851851851854</v>
      </c>
      <c r="M9">
        <v>94.41405723905724</v>
      </c>
      <c r="N9">
        <v>94.99736251402919</v>
      </c>
      <c r="O9">
        <v>95.46843434343434</v>
      </c>
      <c r="P9">
        <v>95.82727272727273</v>
      </c>
      <c r="Q9">
        <v>96.07387766554434</v>
      </c>
      <c r="R9">
        <v>96.20824915824916</v>
      </c>
      <c r="S9">
        <v>96.23038720538722</v>
      </c>
      <c r="T9">
        <v>96.14029180695849</v>
      </c>
    </row>
    <row r="10" spans="1:20" ht="12.75">
      <c r="A10">
        <v>2.888888888888889</v>
      </c>
      <c r="B10">
        <v>82.73179012345678</v>
      </c>
      <c r="C10">
        <v>84.5496632996633</v>
      </c>
      <c r="D10">
        <v>86.25530303030303</v>
      </c>
      <c r="E10">
        <v>87.84870931537597</v>
      </c>
      <c r="F10">
        <v>89.32988215488214</v>
      </c>
      <c r="G10">
        <v>90.69882154882154</v>
      </c>
      <c r="H10">
        <v>91.95552749719415</v>
      </c>
      <c r="I10">
        <v>93.1</v>
      </c>
      <c r="J10">
        <v>94.13223905723905</v>
      </c>
      <c r="K10">
        <v>95.05224466891133</v>
      </c>
      <c r="L10">
        <v>95.86001683501684</v>
      </c>
      <c r="M10">
        <v>96.55555555555554</v>
      </c>
      <c r="N10">
        <v>97.13886083052749</v>
      </c>
      <c r="O10">
        <v>97.60993265993264</v>
      </c>
      <c r="P10">
        <v>97.96877104377103</v>
      </c>
      <c r="Q10">
        <v>98.21537598204264</v>
      </c>
      <c r="R10">
        <v>98.34974747474746</v>
      </c>
      <c r="S10">
        <v>98.37188552188552</v>
      </c>
      <c r="T10">
        <v>98.28179012345679</v>
      </c>
    </row>
    <row r="11" spans="1:20" ht="12.75">
      <c r="A11">
        <v>3</v>
      </c>
      <c r="B11">
        <v>84.48636363636363</v>
      </c>
      <c r="C11">
        <v>86.30423681257015</v>
      </c>
      <c r="D11">
        <v>88.00987654320988</v>
      </c>
      <c r="E11">
        <v>89.60328282828283</v>
      </c>
      <c r="F11">
        <v>91.084455667789</v>
      </c>
      <c r="G11">
        <v>92.4533950617284</v>
      </c>
      <c r="H11">
        <v>93.71010101010101</v>
      </c>
      <c r="I11">
        <v>94.85457351290685</v>
      </c>
      <c r="J11">
        <v>95.8868125701459</v>
      </c>
      <c r="K11">
        <v>96.80681818181819</v>
      </c>
      <c r="L11">
        <v>97.6145903479237</v>
      </c>
      <c r="M11">
        <v>98.3101290684624</v>
      </c>
      <c r="N11">
        <v>98.89343434343435</v>
      </c>
      <c r="O11">
        <v>99.3645061728395</v>
      </c>
      <c r="P11">
        <v>99.72334455667789</v>
      </c>
      <c r="Q11">
        <v>99.9699494949495</v>
      </c>
      <c r="R11">
        <v>100.10432098765432</v>
      </c>
      <c r="S11">
        <v>100.12645903479238</v>
      </c>
      <c r="T11">
        <v>100.03636363636365</v>
      </c>
    </row>
    <row r="12" spans="1:20" ht="12.75">
      <c r="A12">
        <v>3.111111111111111</v>
      </c>
      <c r="B12">
        <v>85.85401234567901</v>
      </c>
      <c r="C12">
        <v>87.67188552188553</v>
      </c>
      <c r="D12">
        <v>89.37752525252526</v>
      </c>
      <c r="E12">
        <v>90.9709315375982</v>
      </c>
      <c r="F12">
        <v>92.45210437710438</v>
      </c>
      <c r="G12">
        <v>93.82104377104378</v>
      </c>
      <c r="H12">
        <v>95.07774971941639</v>
      </c>
      <c r="I12">
        <v>96.22222222222223</v>
      </c>
      <c r="J12">
        <v>97.25446127946128</v>
      </c>
      <c r="K12">
        <v>98.17446689113356</v>
      </c>
      <c r="L12">
        <v>98.98223905723907</v>
      </c>
      <c r="M12">
        <v>99.67777777777778</v>
      </c>
      <c r="N12">
        <v>100.26108305274973</v>
      </c>
      <c r="O12">
        <v>100.73215488215487</v>
      </c>
      <c r="P12">
        <v>101.09099326599326</v>
      </c>
      <c r="Q12">
        <v>101.33759820426488</v>
      </c>
      <c r="R12">
        <v>101.4719696969697</v>
      </c>
      <c r="S12">
        <v>101.49410774410775</v>
      </c>
      <c r="T12">
        <v>101.40401234567902</v>
      </c>
    </row>
    <row r="13" spans="1:20" ht="12.75">
      <c r="A13">
        <v>3.2222222222222223</v>
      </c>
      <c r="B13">
        <v>86.83473625140292</v>
      </c>
      <c r="C13">
        <v>88.65260942760943</v>
      </c>
      <c r="D13">
        <v>90.35824915824917</v>
      </c>
      <c r="E13">
        <v>91.95165544332211</v>
      </c>
      <c r="F13">
        <v>93.43282828282828</v>
      </c>
      <c r="G13">
        <v>94.80176767676768</v>
      </c>
      <c r="H13">
        <v>96.0584736251403</v>
      </c>
      <c r="I13">
        <v>97.20294612794613</v>
      </c>
      <c r="J13">
        <v>98.23518518518519</v>
      </c>
      <c r="K13">
        <v>99.15519079685747</v>
      </c>
      <c r="L13">
        <v>99.96296296296298</v>
      </c>
      <c r="M13">
        <v>100.65850168350168</v>
      </c>
      <c r="N13">
        <v>101.24180695847363</v>
      </c>
      <c r="O13">
        <v>101.71287878787878</v>
      </c>
      <c r="P13">
        <v>102.07171717171717</v>
      </c>
      <c r="Q13">
        <v>102.31832210998878</v>
      </c>
      <c r="R13">
        <v>102.4526936026936</v>
      </c>
      <c r="S13">
        <v>102.47483164983166</v>
      </c>
      <c r="T13">
        <v>102.38473625140293</v>
      </c>
    </row>
    <row r="14" spans="1:20" ht="12.75">
      <c r="A14">
        <v>3.333333333333333</v>
      </c>
      <c r="B14">
        <v>87.42853535353534</v>
      </c>
      <c r="C14">
        <v>89.24640852974186</v>
      </c>
      <c r="D14">
        <v>90.95204826038159</v>
      </c>
      <c r="E14">
        <v>92.54545454545453</v>
      </c>
      <c r="F14">
        <v>94.0266273849607</v>
      </c>
      <c r="G14">
        <v>95.3955667789001</v>
      </c>
      <c r="H14">
        <v>96.65227272727272</v>
      </c>
      <c r="I14">
        <v>97.79674523007856</v>
      </c>
      <c r="J14">
        <v>98.82898428731761</v>
      </c>
      <c r="K14">
        <v>99.74898989898989</v>
      </c>
      <c r="L14">
        <v>100.5567620650954</v>
      </c>
      <c r="M14">
        <v>101.2523007856341</v>
      </c>
      <c r="N14">
        <v>101.83560606060605</v>
      </c>
      <c r="O14">
        <v>102.3066778900112</v>
      </c>
      <c r="P14">
        <v>102.66551627384959</v>
      </c>
      <c r="Q14">
        <v>102.9121212121212</v>
      </c>
      <c r="R14">
        <v>103.04649270482602</v>
      </c>
      <c r="S14">
        <v>103.06863075196408</v>
      </c>
      <c r="T14">
        <v>102.97853535353535</v>
      </c>
    </row>
    <row r="15" spans="1:20" ht="12.75">
      <c r="A15">
        <v>3.444444444444444</v>
      </c>
      <c r="B15">
        <v>87.63540965207632</v>
      </c>
      <c r="C15">
        <v>89.45328282828284</v>
      </c>
      <c r="D15">
        <v>91.15892255892257</v>
      </c>
      <c r="E15">
        <v>92.75232884399551</v>
      </c>
      <c r="F15">
        <v>94.23350168350169</v>
      </c>
      <c r="G15">
        <v>95.60244107744109</v>
      </c>
      <c r="H15">
        <v>96.8591470258137</v>
      </c>
      <c r="I15">
        <v>98.00361952861954</v>
      </c>
      <c r="J15">
        <v>99.03585858585859</v>
      </c>
      <c r="K15">
        <v>99.95586419753087</v>
      </c>
      <c r="L15">
        <v>100.76363636363638</v>
      </c>
      <c r="M15">
        <v>101.45917508417509</v>
      </c>
      <c r="N15">
        <v>102.04248035914704</v>
      </c>
      <c r="O15">
        <v>102.51355218855218</v>
      </c>
      <c r="P15">
        <v>102.87239057239057</v>
      </c>
      <c r="Q15">
        <v>103.11899551066219</v>
      </c>
      <c r="R15">
        <v>103.253367003367</v>
      </c>
      <c r="S15">
        <v>103.27550505050506</v>
      </c>
      <c r="T15">
        <v>103.18540965207633</v>
      </c>
    </row>
    <row r="16" spans="1:20" ht="12.75">
      <c r="A16">
        <v>3.5555555555555554</v>
      </c>
      <c r="B16">
        <v>87.45535914702582</v>
      </c>
      <c r="C16">
        <v>89.27323232323234</v>
      </c>
      <c r="D16">
        <v>90.97887205387207</v>
      </c>
      <c r="E16">
        <v>92.57227833894501</v>
      </c>
      <c r="F16">
        <v>94.05345117845118</v>
      </c>
      <c r="G16">
        <v>95.42239057239058</v>
      </c>
      <c r="H16">
        <v>96.6790965207632</v>
      </c>
      <c r="I16">
        <v>97.82356902356904</v>
      </c>
      <c r="J16">
        <v>98.85580808080809</v>
      </c>
      <c r="K16">
        <v>99.77581369248037</v>
      </c>
      <c r="L16">
        <v>100.58358585858588</v>
      </c>
      <c r="M16">
        <v>101.27912457912458</v>
      </c>
      <c r="N16">
        <v>101.86242985409653</v>
      </c>
      <c r="O16">
        <v>102.33350168350168</v>
      </c>
      <c r="P16">
        <v>102.69234006734007</v>
      </c>
      <c r="Q16">
        <v>102.93894500561169</v>
      </c>
      <c r="R16">
        <v>103.0733164983165</v>
      </c>
      <c r="S16">
        <v>103.09545454545456</v>
      </c>
      <c r="T16">
        <v>103.00535914702583</v>
      </c>
    </row>
    <row r="17" spans="1:20" ht="12.75">
      <c r="A17">
        <v>3.6666666666666665</v>
      </c>
      <c r="B17">
        <v>86.88838383838383</v>
      </c>
      <c r="C17">
        <v>88.70625701459035</v>
      </c>
      <c r="D17">
        <v>90.41189674523008</v>
      </c>
      <c r="E17">
        <v>92.00530303030303</v>
      </c>
      <c r="F17">
        <v>93.4864758698092</v>
      </c>
      <c r="G17">
        <v>94.8554152637486</v>
      </c>
      <c r="H17">
        <v>96.11212121212121</v>
      </c>
      <c r="I17">
        <v>97.25659371492705</v>
      </c>
      <c r="J17">
        <v>98.2888327721661</v>
      </c>
      <c r="K17">
        <v>99.20883838383838</v>
      </c>
      <c r="L17">
        <v>100.01661054994389</v>
      </c>
      <c r="M17">
        <v>100.7121492704826</v>
      </c>
      <c r="N17">
        <v>101.29545454545455</v>
      </c>
      <c r="O17">
        <v>101.7665263748597</v>
      </c>
      <c r="P17">
        <v>102.12536475869808</v>
      </c>
      <c r="Q17">
        <v>102.3719696969697</v>
      </c>
      <c r="R17">
        <v>102.50634118967452</v>
      </c>
      <c r="S17">
        <v>102.52847923681257</v>
      </c>
      <c r="T17">
        <v>102.43838383838384</v>
      </c>
    </row>
    <row r="18" spans="1:20" ht="12.75">
      <c r="A18">
        <v>3.7777777777777777</v>
      </c>
      <c r="B18">
        <v>85.93448372615039</v>
      </c>
      <c r="C18">
        <v>87.75235690235691</v>
      </c>
      <c r="D18">
        <v>89.45799663299664</v>
      </c>
      <c r="E18">
        <v>91.05140291806958</v>
      </c>
      <c r="F18">
        <v>92.53257575757576</v>
      </c>
      <c r="G18">
        <v>93.90151515151516</v>
      </c>
      <c r="H18">
        <v>95.15822109988777</v>
      </c>
      <c r="I18">
        <v>96.30269360269361</v>
      </c>
      <c r="J18">
        <v>97.33493265993266</v>
      </c>
      <c r="K18">
        <v>98.25493827160494</v>
      </c>
      <c r="L18">
        <v>99.06271043771045</v>
      </c>
      <c r="M18">
        <v>99.75824915824916</v>
      </c>
      <c r="N18">
        <v>100.3415544332211</v>
      </c>
      <c r="O18">
        <v>100.81262626262625</v>
      </c>
      <c r="P18">
        <v>101.17146464646464</v>
      </c>
      <c r="Q18">
        <v>101.41806958473626</v>
      </c>
      <c r="R18">
        <v>101.55244107744107</v>
      </c>
      <c r="S18">
        <v>101.57457912457913</v>
      </c>
      <c r="T18">
        <v>101.4844837261504</v>
      </c>
    </row>
    <row r="19" spans="1:20" ht="12.75">
      <c r="A19">
        <v>3.888888888888889</v>
      </c>
      <c r="B19">
        <v>84.59365881032548</v>
      </c>
      <c r="C19">
        <v>86.411531986532</v>
      </c>
      <c r="D19">
        <v>88.11717171717173</v>
      </c>
      <c r="E19">
        <v>89.71057800224467</v>
      </c>
      <c r="F19">
        <v>91.19175084175085</v>
      </c>
      <c r="G19">
        <v>92.56069023569025</v>
      </c>
      <c r="H19">
        <v>93.81739618406286</v>
      </c>
      <c r="I19">
        <v>94.9618686868687</v>
      </c>
      <c r="J19">
        <v>95.99410774410775</v>
      </c>
      <c r="K19">
        <v>96.91411335578003</v>
      </c>
      <c r="L19">
        <v>97.72188552188554</v>
      </c>
      <c r="M19">
        <v>98.41742424242425</v>
      </c>
      <c r="N19">
        <v>99.0007295173962</v>
      </c>
      <c r="O19">
        <v>99.47180134680134</v>
      </c>
      <c r="P19">
        <v>99.83063973063973</v>
      </c>
      <c r="Q19">
        <v>100.07724466891135</v>
      </c>
      <c r="R19">
        <v>100.21161616161616</v>
      </c>
      <c r="S19">
        <v>100.23375420875422</v>
      </c>
      <c r="T19">
        <v>100.14365881032549</v>
      </c>
    </row>
    <row r="20" spans="1:20" ht="12.75">
      <c r="A20">
        <v>4</v>
      </c>
      <c r="B20">
        <v>82.86590909090908</v>
      </c>
      <c r="C20">
        <v>84.6837822671156</v>
      </c>
      <c r="D20">
        <v>86.38942199775533</v>
      </c>
      <c r="E20">
        <v>87.98282828282828</v>
      </c>
      <c r="F20">
        <v>89.46400112233445</v>
      </c>
      <c r="G20">
        <v>90.83294051627385</v>
      </c>
      <c r="H20">
        <v>92.08964646464646</v>
      </c>
      <c r="I20">
        <v>93.2341189674523</v>
      </c>
      <c r="J20">
        <v>94.26635802469136</v>
      </c>
      <c r="K20">
        <v>95.18636363636364</v>
      </c>
      <c r="L20">
        <v>95.99413580246915</v>
      </c>
      <c r="M20">
        <v>96.68967452300785</v>
      </c>
      <c r="N20">
        <v>97.2729797979798</v>
      </c>
      <c r="O20">
        <v>97.74405162738495</v>
      </c>
      <c r="P20">
        <v>98.10289001122334</v>
      </c>
      <c r="Q20">
        <v>98.34949494949495</v>
      </c>
      <c r="R20">
        <v>98.48386644219977</v>
      </c>
      <c r="S20">
        <v>98.50600448933783</v>
      </c>
      <c r="T20">
        <v>98.4159090909091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Computations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Mayfield</dc:creator>
  <cp:keywords/>
  <dc:description/>
  <cp:lastModifiedBy>Philip Mayfield</cp:lastModifiedBy>
  <dcterms:created xsi:type="dcterms:W3CDTF">2001-02-21T01:09:31Z</dcterms:created>
  <dcterms:modified xsi:type="dcterms:W3CDTF">2002-01-07T16:18:37Z</dcterms:modified>
  <cp:category/>
  <cp:version/>
  <cp:contentType/>
  <cp:contentStatus/>
</cp:coreProperties>
</file>